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124226"/>
  <mc:AlternateContent xmlns:mc="http://schemas.openxmlformats.org/markup-compatibility/2006">
    <mc:Choice Requires="x15">
      <x15ac:absPath xmlns:x15ac="http://schemas.microsoft.com/office/spreadsheetml/2010/11/ac" url="https://d.docs.live.net/be8db5178c17308c/Documents/WRGRC Awards/"/>
    </mc:Choice>
  </mc:AlternateContent>
  <xr:revisionPtr revIDLastSave="42" documentId="8_{2B861068-38C8-4C82-9725-3E1A760F7817}" xr6:coauthVersionLast="47" xr6:coauthVersionMax="47" xr10:uidLastSave="{B9C8A18F-CBAA-4ED4-ACEE-3FE6B47E5154}"/>
  <workbookProtection workbookAlgorithmName="SHA-512" workbookHashValue="/TmYgxTbG23e3D2rfVgQ1HSxLGiVLXtXp2XpoNl0vppI5gkBTREE1s47Ce32YVLLPbE2hY6L8WEO0U3AoofGYg==" workbookSaltValue="4JgV6cz4nkzQYGo1dRh9lA==" workbookSpinCount="100000" lockStructure="1"/>
  <bookViews>
    <workbookView xWindow="640" yWindow="640" windowWidth="17280" windowHeight="9985" tabRatio="749" activeTab="1" xr2:uid="{00000000-000D-0000-FFFF-FFFF00000000}"/>
  </bookViews>
  <sheets>
    <sheet name="Instructions" sheetId="14" r:id="rId1"/>
    <sheet name="Summary" sheetId="7" r:id="rId2"/>
    <sheet name="Worker Requirements" sheetId="18" r:id="rId3"/>
    <sheet name="Conformation" sheetId="8" r:id="rId4"/>
    <sheet name="Obedience" sheetId="9" r:id="rId5"/>
    <sheet name="Agility" sheetId="1" r:id="rId6"/>
    <sheet name="Rally" sheetId="11" r:id="rId7"/>
    <sheet name="Tracking" sheetId="10" r:id="rId8"/>
    <sheet name="Field" sheetId="6" r:id="rId9"/>
    <sheet name="Fast Cat" sheetId="19" r:id="rId10"/>
    <sheet name="Trick Dog" sheetId="20" r:id="rId11"/>
    <sheet name="Scent Work" sheetId="21" r:id="rId12"/>
    <sheet name="Junior Showmanship" sheetId="16" r:id="rId13"/>
    <sheet name="Point Schedule" sheetId="3" r:id="rId14"/>
    <sheet name="Tabulation Sheet" sheetId="13" r:id="rId15"/>
    <sheet name="Pull Down Menus" sheetId="12" r:id="rId16"/>
    <sheet name="Revision History" sheetId="15" r:id="rId17"/>
  </sheets>
  <externalReferences>
    <externalReference r:id="rId18"/>
  </externalReferences>
  <definedNames>
    <definedName name="_xlnm._FilterDatabase" localSheetId="5" hidden="1">Agility!$B$9:$U$22</definedName>
    <definedName name="_VCD1">'Pull Down Menus'!$H$1:$H$5</definedName>
    <definedName name="AGClasses">'Pull Down Menus'!$M$1:$M$6</definedName>
    <definedName name="AgilitySTD">'Pull Down Menus'!$E$1:$E$26</definedName>
    <definedName name="AMPRO">'Pull Down Menus'!$W$1:$W$2</definedName>
    <definedName name="BIS">'Pull Down Menus'!$V$1:$V$2</definedName>
    <definedName name="BOBB">'Pull Down Menus'!$T$1:$T$4</definedName>
    <definedName name="BOS">'Pull Down Menus'!$U$1</definedName>
    <definedName name="BOW">'Pull Down Menus'!$S$1</definedName>
    <definedName name="Champion">'Pull Down Menus'!$A$1:$A$6</definedName>
    <definedName name="ConfClasses">'Pull Down Menus'!$AB$1:$AB$14</definedName>
    <definedName name="FAST">'Pull Down Menus'!$AC$1:$AC$22</definedName>
    <definedName name="Field">'Pull Down Menus'!$K$1:$K$4</definedName>
    <definedName name="FLDPlace">'Pull Down Menus'!$Z$1:$Z$5</definedName>
    <definedName name="HoursWorked">'Pull Down Menus'!$AD$1:$AD$12</definedName>
    <definedName name="Hunt">'Pull Down Menus'!$G$1:$G$26</definedName>
    <definedName name="HuntLeg">'Pull Down Menus'!$Y$1:$Y$5</definedName>
    <definedName name="JWW">'Pull Down Menus'!$F$1:$F$26</definedName>
    <definedName name="Major">'Pull Down Menus'!$P$1:$P$2</definedName>
    <definedName name="NewsletterArt">'Pull Down Menus'!$AE$1:$AE$12</definedName>
    <definedName name="ObedClasses">'Pull Down Menus'!$N$1:$N$14</definedName>
    <definedName name="Obedience1">'Pull Down Menus'!$B$1:$B$33</definedName>
    <definedName name="Placement">'Pull Down Menus'!$L$1:$L$4</definedName>
    <definedName name="_xlnm.Print_Area" localSheetId="5">Agility!$A$1:$V$103</definedName>
    <definedName name="_xlnm.Print_Area" localSheetId="8">Field!$A$1:$N$32</definedName>
    <definedName name="_xlnm.Print_Area" localSheetId="0">Instructions!$A$1:$M$58</definedName>
    <definedName name="_xlnm.Print_Area" localSheetId="12">'Junior Showmanship'!$A$1:$G$34</definedName>
    <definedName name="_xlnm.Print_Area" localSheetId="4">Obedience!$A$1:$AG$47</definedName>
    <definedName name="_xlnm.Print_Area" localSheetId="13">'Point Schedule'!$K$1:$W$31</definedName>
    <definedName name="_xlnm.Print_Area" localSheetId="15">'Pull Down Menus'!$A$1:$AE$23</definedName>
    <definedName name="_xlnm.Print_Area" localSheetId="6">Rally!$A$1:$P$82</definedName>
    <definedName name="_xlnm.Print_Area" localSheetId="16">'Revision History'!$A$1:$C$50</definedName>
    <definedName name="_xlnm.Print_Area" localSheetId="1">Summary!$A$1:$AC$54</definedName>
    <definedName name="_xlnm.Print_Area" localSheetId="7">Tracking!$A$1:$Q$19</definedName>
    <definedName name="Rally">'Pull Down Menus'!$C$1:$C$36</definedName>
    <definedName name="RallyClasses">'Pull Down Menus'!$O$1:$O$3</definedName>
    <definedName name="RWD">'Pull Down Menus'!$R$3</definedName>
    <definedName name="Sex">'Pull Down Menus'!$X$1:$X$2</definedName>
    <definedName name="Specialty">'Pull Down Menus'!$Q$1:$Q$3</definedName>
    <definedName name="STDJWW">'Pull Down Menus'!$AA$1:$AA$4</definedName>
    <definedName name="Tracking">'Pull Down Menus'!$D$1:$D$6</definedName>
    <definedName name="Treiball">'Pull Down Menus'!$AK$1:$AK$49</definedName>
    <definedName name="UKC">'Pull Down Menus'!$I$1:$I$3</definedName>
    <definedName name="WDWB">'Pull Down Menus'!$R$1:$R$2</definedName>
    <definedName name="YN">'Pull Down Menus'!$J$1:$J$2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26" i="13" l="1" a="1"/>
  <c r="H26" i="13" s="1"/>
  <c r="H25" i="13" a="1"/>
  <c r="H25" i="13" s="1"/>
  <c r="I32" i="18"/>
  <c r="Q13" i="1"/>
  <c r="Q14" i="1"/>
  <c r="Q15" i="1"/>
  <c r="Q16" i="1"/>
  <c r="Q17" i="1"/>
  <c r="Q18" i="1"/>
  <c r="Q19" i="1"/>
  <c r="Q20" i="1"/>
  <c r="Q21" i="1"/>
  <c r="Q22" i="1"/>
  <c r="Q23" i="1"/>
  <c r="Q24" i="1"/>
  <c r="Q25" i="1"/>
  <c r="Q26" i="1"/>
  <c r="Q27" i="1"/>
  <c r="Q28" i="1"/>
  <c r="Q29" i="1"/>
  <c r="Q30" i="1"/>
  <c r="Q31" i="1"/>
  <c r="Q32" i="1"/>
  <c r="Q33" i="1"/>
  <c r="Q34" i="1"/>
  <c r="Q35" i="1"/>
  <c r="Q36" i="1"/>
  <c r="Q37" i="1"/>
  <c r="Q38" i="1"/>
  <c r="Q39" i="1"/>
  <c r="Q40" i="1"/>
  <c r="Q41" i="1"/>
  <c r="Q42" i="1"/>
  <c r="Q43" i="1"/>
  <c r="Q44" i="1"/>
  <c r="Q45" i="1"/>
  <c r="Q46" i="1"/>
  <c r="Q47" i="1"/>
  <c r="Q48" i="1"/>
  <c r="Q49" i="1"/>
  <c r="Q50" i="1"/>
  <c r="Q51" i="1"/>
  <c r="Q52" i="1"/>
  <c r="Q53" i="1"/>
  <c r="Q54" i="1"/>
  <c r="Q55" i="1"/>
  <c r="Q56" i="1"/>
  <c r="Q57" i="1"/>
  <c r="Q58" i="1"/>
  <c r="Q59" i="1"/>
  <c r="Q60" i="1"/>
  <c r="Q61" i="1"/>
  <c r="Q62" i="1"/>
  <c r="Q63" i="1"/>
  <c r="Q64" i="1"/>
  <c r="Q65" i="1"/>
  <c r="Q66" i="1"/>
  <c r="Q67" i="1"/>
  <c r="Q68" i="1"/>
  <c r="Q69" i="1"/>
  <c r="Q70" i="1"/>
  <c r="Q71" i="1"/>
  <c r="Q72" i="1"/>
  <c r="Q73" i="1"/>
  <c r="Q74" i="1"/>
  <c r="Q75" i="1"/>
  <c r="Q76" i="1"/>
  <c r="Q77" i="1"/>
  <c r="Q78" i="1"/>
  <c r="Q79" i="1"/>
  <c r="Q80" i="1"/>
  <c r="Q81" i="1"/>
  <c r="Q82" i="1"/>
  <c r="Q83" i="1"/>
  <c r="Q84" i="1"/>
  <c r="Q85" i="1"/>
  <c r="Q86" i="1"/>
  <c r="Q87" i="1"/>
  <c r="Q88" i="1"/>
  <c r="Q89" i="1"/>
  <c r="Q90" i="1"/>
  <c r="Q91" i="1"/>
  <c r="Q92" i="1"/>
  <c r="Q93" i="1"/>
  <c r="Q94" i="1"/>
  <c r="Q95" i="1"/>
  <c r="Q96" i="1"/>
  <c r="Q97" i="1"/>
  <c r="Q98" i="1"/>
  <c r="Q99" i="1"/>
  <c r="Q100" i="1"/>
  <c r="Q101" i="1"/>
  <c r="P13" i="1"/>
  <c r="P14" i="1"/>
  <c r="P15" i="1"/>
  <c r="P16" i="1"/>
  <c r="P17" i="1"/>
  <c r="P18" i="1"/>
  <c r="P19" i="1"/>
  <c r="P20" i="1"/>
  <c r="P21" i="1"/>
  <c r="P22" i="1"/>
  <c r="P23" i="1"/>
  <c r="P24" i="1"/>
  <c r="P25" i="1"/>
  <c r="P26" i="1"/>
  <c r="P27" i="1"/>
  <c r="P28" i="1"/>
  <c r="P29" i="1"/>
  <c r="P30" i="1"/>
  <c r="P31" i="1"/>
  <c r="P32"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P78" i="1"/>
  <c r="P79" i="1"/>
  <c r="P80" i="1"/>
  <c r="P81" i="1"/>
  <c r="P82" i="1"/>
  <c r="P83" i="1"/>
  <c r="P84" i="1"/>
  <c r="P85" i="1"/>
  <c r="P86" i="1"/>
  <c r="P87" i="1"/>
  <c r="P88" i="1"/>
  <c r="P89" i="1"/>
  <c r="P90" i="1"/>
  <c r="P91" i="1"/>
  <c r="P92" i="1"/>
  <c r="P93" i="1"/>
  <c r="P94" i="1"/>
  <c r="P95" i="1"/>
  <c r="P96" i="1"/>
  <c r="P97" i="1"/>
  <c r="P98" i="1"/>
  <c r="P99" i="1"/>
  <c r="P100" i="1"/>
  <c r="P101" i="1"/>
  <c r="P11" i="1"/>
  <c r="Q12" i="1"/>
  <c r="Q11" i="1"/>
  <c r="P12" i="1"/>
  <c r="AD45" i="1"/>
  <c r="AD46" i="1"/>
  <c r="AD47" i="1"/>
  <c r="AD48" i="1"/>
  <c r="AD49" i="1"/>
  <c r="AD50" i="1"/>
  <c r="AD51" i="1"/>
  <c r="AD52" i="1"/>
  <c r="AD53" i="1"/>
  <c r="AD54" i="1"/>
  <c r="AD55" i="1"/>
  <c r="AD56" i="1"/>
  <c r="AD57" i="1"/>
  <c r="AD58" i="1"/>
  <c r="AD59" i="1"/>
  <c r="AD60" i="1"/>
  <c r="AD61" i="1"/>
  <c r="AD62" i="1"/>
  <c r="AD63" i="1"/>
  <c r="AB63" i="1" s="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C45" i="1"/>
  <c r="AC46" i="1"/>
  <c r="AC47" i="1"/>
  <c r="AC48" i="1"/>
  <c r="AC49" i="1"/>
  <c r="AC50" i="1"/>
  <c r="AC51" i="1"/>
  <c r="AC52" i="1"/>
  <c r="AC53" i="1"/>
  <c r="AC54" i="1"/>
  <c r="AC55" i="1"/>
  <c r="AC56" i="1"/>
  <c r="AB56" i="1" s="1"/>
  <c r="AC57" i="1"/>
  <c r="AB57" i="1" s="1"/>
  <c r="AC58" i="1"/>
  <c r="AC59" i="1"/>
  <c r="AC60" i="1"/>
  <c r="AC61" i="1"/>
  <c r="AC62" i="1"/>
  <c r="AC63" i="1"/>
  <c r="AC64" i="1"/>
  <c r="AC65" i="1"/>
  <c r="AC66" i="1"/>
  <c r="AC67" i="1"/>
  <c r="AC68" i="1"/>
  <c r="AC69" i="1"/>
  <c r="AC70" i="1"/>
  <c r="AC71" i="1"/>
  <c r="AC72" i="1"/>
  <c r="AC73" i="1"/>
  <c r="AC74" i="1"/>
  <c r="AC75" i="1"/>
  <c r="AC76" i="1"/>
  <c r="AB76" i="1" s="1"/>
  <c r="AC77" i="1"/>
  <c r="AB77" i="1" s="1"/>
  <c r="AC78" i="1"/>
  <c r="AC79" i="1"/>
  <c r="AC80" i="1"/>
  <c r="AC81" i="1"/>
  <c r="AC82" i="1"/>
  <c r="AB82" i="1" s="1"/>
  <c r="AC83" i="1"/>
  <c r="AC84" i="1"/>
  <c r="AC85" i="1"/>
  <c r="AC86" i="1"/>
  <c r="AC87" i="1"/>
  <c r="AC88" i="1"/>
  <c r="AC89" i="1"/>
  <c r="AC90" i="1"/>
  <c r="AC91" i="1"/>
  <c r="AC92" i="1"/>
  <c r="AC93" i="1"/>
  <c r="AC94" i="1"/>
  <c r="AC95" i="1"/>
  <c r="AC96" i="1"/>
  <c r="AB96" i="1" s="1"/>
  <c r="AC97" i="1"/>
  <c r="AB97" i="1" s="1"/>
  <c r="AC98" i="1"/>
  <c r="AC99" i="1"/>
  <c r="AC100" i="1"/>
  <c r="AC101" i="1"/>
  <c r="AB62"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AA78" i="1"/>
  <c r="AA79" i="1"/>
  <c r="AA80" i="1"/>
  <c r="AA81" i="1"/>
  <c r="AA82" i="1"/>
  <c r="AA83" i="1"/>
  <c r="AA84" i="1"/>
  <c r="AA85" i="1"/>
  <c r="AA86" i="1"/>
  <c r="AA87" i="1"/>
  <c r="AA88" i="1"/>
  <c r="AA89" i="1"/>
  <c r="AA90" i="1"/>
  <c r="AA91" i="1"/>
  <c r="AA92" i="1"/>
  <c r="AA93" i="1"/>
  <c r="AA94" i="1"/>
  <c r="AA95" i="1"/>
  <c r="AA96" i="1"/>
  <c r="AA97" i="1"/>
  <c r="AA98" i="1"/>
  <c r="AA99" i="1"/>
  <c r="AA100" i="1"/>
  <c r="AA101"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U78" i="1"/>
  <c r="U79" i="1"/>
  <c r="U80" i="1"/>
  <c r="U81" i="1"/>
  <c r="U82" i="1"/>
  <c r="U83" i="1"/>
  <c r="U84" i="1"/>
  <c r="U85" i="1"/>
  <c r="U86" i="1"/>
  <c r="U87" i="1"/>
  <c r="U88" i="1"/>
  <c r="U89" i="1"/>
  <c r="U90" i="1"/>
  <c r="U91" i="1"/>
  <c r="U92" i="1"/>
  <c r="U93" i="1"/>
  <c r="U94" i="1"/>
  <c r="U95" i="1"/>
  <c r="U96" i="1"/>
  <c r="U97" i="1"/>
  <c r="U98" i="1"/>
  <c r="U99" i="1"/>
  <c r="U100" i="1"/>
  <c r="U101" i="1"/>
  <c r="T45" i="1"/>
  <c r="T46" i="1"/>
  <c r="T47" i="1"/>
  <c r="T48" i="1"/>
  <c r="T49" i="1"/>
  <c r="T50" i="1"/>
  <c r="T51" i="1"/>
  <c r="T52" i="1"/>
  <c r="T53" i="1"/>
  <c r="T54" i="1"/>
  <c r="T55" i="1"/>
  <c r="T56" i="1"/>
  <c r="T57" i="1"/>
  <c r="T58" i="1"/>
  <c r="T59" i="1"/>
  <c r="T60" i="1"/>
  <c r="T61" i="1"/>
  <c r="T62" i="1"/>
  <c r="T63" i="1"/>
  <c r="T64" i="1"/>
  <c r="T65" i="1"/>
  <c r="T66" i="1"/>
  <c r="T67" i="1"/>
  <c r="T68" i="1"/>
  <c r="T69" i="1"/>
  <c r="T70" i="1"/>
  <c r="T71" i="1"/>
  <c r="T72" i="1"/>
  <c r="T73" i="1"/>
  <c r="T74" i="1"/>
  <c r="T75" i="1"/>
  <c r="T76" i="1"/>
  <c r="T77" i="1"/>
  <c r="T78" i="1"/>
  <c r="T79" i="1"/>
  <c r="T80" i="1"/>
  <c r="T81" i="1"/>
  <c r="T82" i="1"/>
  <c r="T83" i="1"/>
  <c r="T84" i="1"/>
  <c r="T85" i="1"/>
  <c r="T86" i="1"/>
  <c r="T87" i="1"/>
  <c r="T88" i="1"/>
  <c r="T89" i="1"/>
  <c r="T90" i="1"/>
  <c r="T91" i="1"/>
  <c r="T92" i="1"/>
  <c r="T93" i="1"/>
  <c r="T94" i="1"/>
  <c r="T95" i="1"/>
  <c r="T96" i="1"/>
  <c r="T97" i="1"/>
  <c r="T98" i="1"/>
  <c r="T99" i="1"/>
  <c r="T100" i="1"/>
  <c r="T101" i="1"/>
  <c r="S45" i="1"/>
  <c r="S46" i="1"/>
  <c r="S47" i="1"/>
  <c r="S48" i="1"/>
  <c r="S49" i="1"/>
  <c r="S50" i="1"/>
  <c r="S51" i="1"/>
  <c r="S52" i="1"/>
  <c r="S53" i="1"/>
  <c r="S54" i="1"/>
  <c r="S55" i="1"/>
  <c r="S56" i="1"/>
  <c r="S57" i="1"/>
  <c r="S58" i="1"/>
  <c r="S59" i="1"/>
  <c r="S60" i="1"/>
  <c r="S61" i="1"/>
  <c r="S62" i="1"/>
  <c r="S63" i="1"/>
  <c r="S64" i="1"/>
  <c r="S65" i="1"/>
  <c r="S66" i="1"/>
  <c r="S67" i="1"/>
  <c r="S68" i="1"/>
  <c r="S69" i="1"/>
  <c r="S70" i="1"/>
  <c r="S71" i="1"/>
  <c r="S72" i="1"/>
  <c r="S73" i="1"/>
  <c r="S74" i="1"/>
  <c r="S75" i="1"/>
  <c r="S76" i="1"/>
  <c r="S77" i="1"/>
  <c r="S78" i="1"/>
  <c r="S79" i="1"/>
  <c r="S80" i="1"/>
  <c r="S81" i="1"/>
  <c r="S82" i="1"/>
  <c r="S83" i="1"/>
  <c r="S84" i="1"/>
  <c r="S85" i="1"/>
  <c r="S86" i="1"/>
  <c r="S87" i="1"/>
  <c r="S88" i="1"/>
  <c r="S89" i="1"/>
  <c r="S90" i="1"/>
  <c r="S91" i="1"/>
  <c r="S92" i="1"/>
  <c r="S93" i="1"/>
  <c r="S94" i="1"/>
  <c r="S95" i="1"/>
  <c r="S96" i="1"/>
  <c r="S97" i="1"/>
  <c r="S98" i="1"/>
  <c r="S99" i="1"/>
  <c r="S100" i="1"/>
  <c r="S101" i="1"/>
  <c r="R45" i="1"/>
  <c r="R46" i="1"/>
  <c r="R47" i="1"/>
  <c r="R48" i="1"/>
  <c r="R49" i="1"/>
  <c r="R50" i="1"/>
  <c r="R51" i="1"/>
  <c r="R52" i="1"/>
  <c r="R53" i="1"/>
  <c r="R54" i="1"/>
  <c r="R55" i="1"/>
  <c r="R56" i="1"/>
  <c r="R57" i="1"/>
  <c r="R58" i="1"/>
  <c r="R59" i="1"/>
  <c r="R60" i="1"/>
  <c r="R61" i="1"/>
  <c r="R62" i="1"/>
  <c r="R63" i="1"/>
  <c r="R64" i="1"/>
  <c r="R65" i="1"/>
  <c r="R66" i="1"/>
  <c r="R67" i="1"/>
  <c r="R68" i="1"/>
  <c r="R69" i="1"/>
  <c r="R70" i="1"/>
  <c r="R71" i="1"/>
  <c r="R72" i="1"/>
  <c r="R73" i="1"/>
  <c r="R74" i="1"/>
  <c r="R75" i="1"/>
  <c r="R76" i="1"/>
  <c r="R77" i="1"/>
  <c r="R78" i="1"/>
  <c r="R79" i="1"/>
  <c r="R80" i="1"/>
  <c r="R81" i="1"/>
  <c r="R82" i="1"/>
  <c r="R83" i="1"/>
  <c r="R84" i="1"/>
  <c r="R85" i="1"/>
  <c r="R86" i="1"/>
  <c r="R87" i="1"/>
  <c r="R88" i="1"/>
  <c r="R89" i="1"/>
  <c r="R90" i="1"/>
  <c r="R91" i="1"/>
  <c r="R92" i="1"/>
  <c r="R93" i="1"/>
  <c r="R94" i="1"/>
  <c r="R95" i="1"/>
  <c r="R96" i="1"/>
  <c r="R97" i="1"/>
  <c r="R98" i="1"/>
  <c r="R99" i="1"/>
  <c r="R100" i="1"/>
  <c r="R101"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O78" i="1"/>
  <c r="O79" i="1"/>
  <c r="O80" i="1"/>
  <c r="O81" i="1"/>
  <c r="O82" i="1"/>
  <c r="O83" i="1"/>
  <c r="O84" i="1"/>
  <c r="O85" i="1"/>
  <c r="O86" i="1"/>
  <c r="O87" i="1"/>
  <c r="O88" i="1"/>
  <c r="O89" i="1"/>
  <c r="O90" i="1"/>
  <c r="O91" i="1"/>
  <c r="O92" i="1"/>
  <c r="O93" i="1"/>
  <c r="O94" i="1"/>
  <c r="O95" i="1"/>
  <c r="O96" i="1"/>
  <c r="O97" i="1"/>
  <c r="O98" i="1"/>
  <c r="O99" i="1"/>
  <c r="O100" i="1"/>
  <c r="O101"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N4" i="13" a="1"/>
  <c r="N4" i="13" s="1"/>
  <c r="O45" i="11"/>
  <c r="O46" i="11"/>
  <c r="O47" i="11"/>
  <c r="O48" i="11"/>
  <c r="O49" i="11"/>
  <c r="O50" i="11"/>
  <c r="O51" i="11"/>
  <c r="O52" i="11"/>
  <c r="O53" i="11"/>
  <c r="O54" i="11"/>
  <c r="O55" i="11"/>
  <c r="O56" i="11"/>
  <c r="O57" i="11"/>
  <c r="O58" i="11"/>
  <c r="O59" i="11"/>
  <c r="O60" i="11"/>
  <c r="O61" i="11"/>
  <c r="O62" i="11"/>
  <c r="O63" i="11"/>
  <c r="O64" i="11"/>
  <c r="O65" i="11"/>
  <c r="O66" i="11"/>
  <c r="O67" i="11"/>
  <c r="O68" i="11"/>
  <c r="O69" i="11"/>
  <c r="O70" i="11"/>
  <c r="O71" i="11"/>
  <c r="O72" i="11"/>
  <c r="O73" i="11"/>
  <c r="O74" i="11"/>
  <c r="O75" i="11"/>
  <c r="O76" i="11"/>
  <c r="N45" i="11"/>
  <c r="N46" i="11"/>
  <c r="N47" i="11"/>
  <c r="N48" i="11"/>
  <c r="N49" i="11"/>
  <c r="N50" i="11"/>
  <c r="N51" i="11"/>
  <c r="N52" i="11"/>
  <c r="N53" i="11"/>
  <c r="N54" i="11"/>
  <c r="N55" i="11"/>
  <c r="N56" i="11"/>
  <c r="N57" i="11"/>
  <c r="N58" i="11"/>
  <c r="N59" i="11"/>
  <c r="N60" i="11"/>
  <c r="N61" i="11"/>
  <c r="N62" i="11"/>
  <c r="N63" i="11"/>
  <c r="N64" i="11"/>
  <c r="N65" i="11"/>
  <c r="N66" i="11"/>
  <c r="N67" i="11"/>
  <c r="N68" i="11"/>
  <c r="N69" i="11"/>
  <c r="N70" i="11"/>
  <c r="N71" i="11"/>
  <c r="N72" i="11"/>
  <c r="N73" i="11"/>
  <c r="N74" i="11"/>
  <c r="N75" i="11"/>
  <c r="N76" i="11"/>
  <c r="M45" i="11"/>
  <c r="M46" i="11"/>
  <c r="M47" i="11"/>
  <c r="M48" i="11"/>
  <c r="M49" i="11"/>
  <c r="M50" i="11"/>
  <c r="M51" i="11"/>
  <c r="M52" i="11"/>
  <c r="M53" i="11"/>
  <c r="M54" i="11"/>
  <c r="M55" i="11"/>
  <c r="M56" i="11"/>
  <c r="M57" i="11"/>
  <c r="M58" i="11"/>
  <c r="M59" i="11"/>
  <c r="M60" i="11"/>
  <c r="M61" i="11"/>
  <c r="M62" i="11"/>
  <c r="M63" i="11"/>
  <c r="M64" i="11"/>
  <c r="M65" i="11"/>
  <c r="M66" i="11"/>
  <c r="M67" i="11"/>
  <c r="M68" i="11"/>
  <c r="M69" i="11"/>
  <c r="M70" i="11"/>
  <c r="M71" i="11"/>
  <c r="M72" i="11"/>
  <c r="M73" i="11"/>
  <c r="M74" i="11"/>
  <c r="M75" i="11"/>
  <c r="M76" i="11"/>
  <c r="L45" i="11"/>
  <c r="L46" i="11"/>
  <c r="L47" i="11"/>
  <c r="L48" i="11"/>
  <c r="L49" i="11"/>
  <c r="L50" i="11"/>
  <c r="L51" i="11"/>
  <c r="L52" i="11"/>
  <c r="L53" i="11"/>
  <c r="L54" i="11"/>
  <c r="L55" i="11"/>
  <c r="L56" i="11"/>
  <c r="L57" i="11"/>
  <c r="L58" i="11"/>
  <c r="L59" i="11"/>
  <c r="L60" i="11"/>
  <c r="L61" i="11"/>
  <c r="L62" i="11"/>
  <c r="L63" i="11"/>
  <c r="L64" i="11"/>
  <c r="L65" i="11"/>
  <c r="L66" i="11"/>
  <c r="L67" i="11"/>
  <c r="L68" i="11"/>
  <c r="L69" i="11"/>
  <c r="L70" i="11"/>
  <c r="L71" i="11"/>
  <c r="L72" i="11"/>
  <c r="L73" i="11"/>
  <c r="L74" i="11"/>
  <c r="L75" i="11"/>
  <c r="L76" i="11"/>
  <c r="K45" i="11"/>
  <c r="K46" i="11"/>
  <c r="K47" i="11"/>
  <c r="K48" i="11"/>
  <c r="K49" i="11"/>
  <c r="K50" i="11"/>
  <c r="K51" i="11"/>
  <c r="K52" i="11"/>
  <c r="K53" i="11"/>
  <c r="K54" i="11"/>
  <c r="K55" i="11"/>
  <c r="K56" i="11"/>
  <c r="K57" i="11"/>
  <c r="K58" i="11"/>
  <c r="K59" i="11"/>
  <c r="K60" i="11"/>
  <c r="K61" i="11"/>
  <c r="K62" i="11"/>
  <c r="K63" i="11"/>
  <c r="K64" i="11"/>
  <c r="K65" i="11"/>
  <c r="K66" i="11"/>
  <c r="K67" i="11"/>
  <c r="K68" i="11"/>
  <c r="K69" i="11"/>
  <c r="K70" i="11"/>
  <c r="K71" i="11"/>
  <c r="K72" i="11"/>
  <c r="K73" i="11"/>
  <c r="K74" i="11"/>
  <c r="K75" i="11"/>
  <c r="K76" i="11"/>
  <c r="J45" i="11"/>
  <c r="J46" i="11"/>
  <c r="J47" i="11"/>
  <c r="J48" i="11"/>
  <c r="J49" i="11"/>
  <c r="J50" i="11"/>
  <c r="J51" i="11"/>
  <c r="J52" i="11"/>
  <c r="J53" i="11"/>
  <c r="J54" i="11"/>
  <c r="J55" i="11"/>
  <c r="J56" i="11"/>
  <c r="J57" i="11"/>
  <c r="J58" i="11"/>
  <c r="J59" i="11"/>
  <c r="J60" i="11"/>
  <c r="J61" i="11"/>
  <c r="J62" i="11"/>
  <c r="J63" i="11"/>
  <c r="J64" i="11"/>
  <c r="J65" i="11"/>
  <c r="J66" i="11"/>
  <c r="J67" i="11"/>
  <c r="J68" i="11"/>
  <c r="J69" i="11"/>
  <c r="J70" i="11"/>
  <c r="J71" i="11"/>
  <c r="J72" i="11"/>
  <c r="J73" i="11"/>
  <c r="J74" i="11"/>
  <c r="J75" i="11"/>
  <c r="J76" i="11"/>
  <c r="I45" i="11"/>
  <c r="I46" i="11"/>
  <c r="I47" i="11"/>
  <c r="I48" i="11"/>
  <c r="I49" i="11"/>
  <c r="I50" i="11"/>
  <c r="I51" i="11"/>
  <c r="I52" i="11"/>
  <c r="I53" i="11"/>
  <c r="I54" i="11"/>
  <c r="I55" i="11"/>
  <c r="I56" i="11"/>
  <c r="I57" i="11"/>
  <c r="I58" i="11"/>
  <c r="I59" i="11"/>
  <c r="I60" i="11"/>
  <c r="I61" i="11"/>
  <c r="I62" i="11"/>
  <c r="I63" i="11"/>
  <c r="I64" i="11"/>
  <c r="I65" i="11"/>
  <c r="I66" i="11"/>
  <c r="I67" i="11"/>
  <c r="I68" i="11"/>
  <c r="I69" i="11"/>
  <c r="I70" i="11"/>
  <c r="I71" i="11"/>
  <c r="I72" i="11"/>
  <c r="I73" i="11"/>
  <c r="I74" i="11"/>
  <c r="I75" i="11"/>
  <c r="I76" i="11"/>
  <c r="H45" i="11"/>
  <c r="H46" i="11"/>
  <c r="H47" i="11"/>
  <c r="H48" i="11"/>
  <c r="H49" i="11"/>
  <c r="H50" i="11"/>
  <c r="H51" i="11"/>
  <c r="H52" i="11"/>
  <c r="H53" i="11"/>
  <c r="H54" i="11"/>
  <c r="H55" i="11"/>
  <c r="H56" i="11"/>
  <c r="H57" i="11"/>
  <c r="H58" i="11"/>
  <c r="H59" i="11"/>
  <c r="H60" i="11"/>
  <c r="H61" i="11"/>
  <c r="H62" i="11"/>
  <c r="H63" i="11"/>
  <c r="H64" i="11"/>
  <c r="H65" i="11"/>
  <c r="H66" i="11"/>
  <c r="H67" i="11"/>
  <c r="H68" i="11"/>
  <c r="H69" i="11"/>
  <c r="H70" i="11"/>
  <c r="H71" i="11"/>
  <c r="H72" i="11"/>
  <c r="H73" i="11"/>
  <c r="H74" i="11"/>
  <c r="H75" i="11"/>
  <c r="H76" i="11"/>
  <c r="I14" i="11"/>
  <c r="I15" i="11"/>
  <c r="I16" i="11"/>
  <c r="I17" i="11"/>
  <c r="I18" i="11"/>
  <c r="I19" i="11"/>
  <c r="I20" i="11"/>
  <c r="I21" i="11"/>
  <c r="I22" i="11"/>
  <c r="I23" i="11"/>
  <c r="I24" i="11"/>
  <c r="I25" i="11"/>
  <c r="I26" i="11"/>
  <c r="I27" i="11"/>
  <c r="I28" i="11"/>
  <c r="I29" i="11"/>
  <c r="I30" i="11"/>
  <c r="I31" i="11"/>
  <c r="I32" i="11"/>
  <c r="I33" i="11"/>
  <c r="I34" i="11"/>
  <c r="I35" i="11"/>
  <c r="I36" i="11"/>
  <c r="I37" i="11"/>
  <c r="I38" i="11"/>
  <c r="I39" i="11"/>
  <c r="I40" i="11"/>
  <c r="I41" i="11"/>
  <c r="I42" i="11"/>
  <c r="I43" i="11"/>
  <c r="I44" i="11"/>
  <c r="I77" i="11"/>
  <c r="I78" i="11"/>
  <c r="I79" i="11"/>
  <c r="I80" i="11"/>
  <c r="I12" i="11"/>
  <c r="H13" i="11"/>
  <c r="I13" i="11"/>
  <c r="O30" i="11"/>
  <c r="O31" i="11"/>
  <c r="O32" i="11"/>
  <c r="O33" i="11"/>
  <c r="O34" i="11"/>
  <c r="O35" i="11"/>
  <c r="O36" i="11"/>
  <c r="O37" i="11"/>
  <c r="O38" i="11"/>
  <c r="O39" i="11"/>
  <c r="O40" i="11"/>
  <c r="O41" i="11"/>
  <c r="O42" i="11"/>
  <c r="O43" i="11"/>
  <c r="O44" i="11"/>
  <c r="O77" i="11"/>
  <c r="N30" i="11"/>
  <c r="N31" i="11"/>
  <c r="N32" i="11"/>
  <c r="N33" i="11"/>
  <c r="N34" i="11"/>
  <c r="N35" i="11"/>
  <c r="N36" i="11"/>
  <c r="N37" i="11"/>
  <c r="N38" i="11"/>
  <c r="N39" i="11"/>
  <c r="N40" i="11"/>
  <c r="N41" i="11"/>
  <c r="N42" i="11"/>
  <c r="N43" i="11"/>
  <c r="N44" i="11"/>
  <c r="N77" i="11"/>
  <c r="M30" i="11"/>
  <c r="M31" i="11"/>
  <c r="M32" i="11"/>
  <c r="M33" i="11"/>
  <c r="M34" i="11"/>
  <c r="M35" i="11"/>
  <c r="M36" i="11"/>
  <c r="M37" i="11"/>
  <c r="M38" i="11"/>
  <c r="M39" i="11"/>
  <c r="M40" i="11"/>
  <c r="M41" i="11"/>
  <c r="M42" i="11"/>
  <c r="M43" i="11"/>
  <c r="M44" i="11"/>
  <c r="M77" i="11"/>
  <c r="L30" i="11"/>
  <c r="L31" i="11"/>
  <c r="L32" i="11"/>
  <c r="L33" i="11"/>
  <c r="L34" i="11"/>
  <c r="L35" i="11"/>
  <c r="L36" i="11"/>
  <c r="L37" i="11"/>
  <c r="L38" i="11"/>
  <c r="L39" i="11"/>
  <c r="L40" i="11"/>
  <c r="L41" i="11"/>
  <c r="L42" i="11"/>
  <c r="L43" i="11"/>
  <c r="L44" i="11"/>
  <c r="L77" i="11"/>
  <c r="K30" i="11"/>
  <c r="K31" i="11"/>
  <c r="K32" i="11"/>
  <c r="K33" i="11"/>
  <c r="K34" i="11"/>
  <c r="K35" i="11"/>
  <c r="K36" i="11"/>
  <c r="K37" i="11"/>
  <c r="K38" i="11"/>
  <c r="K39" i="11"/>
  <c r="K40" i="11"/>
  <c r="K41" i="11"/>
  <c r="K42" i="11"/>
  <c r="K43" i="11"/>
  <c r="K44" i="11"/>
  <c r="K77" i="11"/>
  <c r="J30" i="11"/>
  <c r="J31" i="11"/>
  <c r="J32" i="11"/>
  <c r="J33" i="11"/>
  <c r="J34" i="11"/>
  <c r="J35" i="11"/>
  <c r="J36" i="11"/>
  <c r="J37" i="11"/>
  <c r="J38" i="11"/>
  <c r="J39" i="11"/>
  <c r="J40" i="11"/>
  <c r="J41" i="11"/>
  <c r="J42" i="11"/>
  <c r="J43" i="11"/>
  <c r="J44" i="11"/>
  <c r="J77" i="11"/>
  <c r="H30" i="11"/>
  <c r="H31" i="11"/>
  <c r="H32" i="11"/>
  <c r="H33" i="11"/>
  <c r="H34" i="11"/>
  <c r="H35" i="11"/>
  <c r="H36" i="11"/>
  <c r="H37" i="11"/>
  <c r="H38" i="11"/>
  <c r="H39" i="11"/>
  <c r="H40" i="11"/>
  <c r="H41" i="11"/>
  <c r="H42" i="11"/>
  <c r="H43" i="11"/>
  <c r="H44" i="11"/>
  <c r="H77" i="11"/>
  <c r="M14" i="21"/>
  <c r="M15" i="21"/>
  <c r="M16" i="21"/>
  <c r="M17" i="21"/>
  <c r="M18" i="21"/>
  <c r="M19" i="21"/>
  <c r="M20" i="21"/>
  <c r="M21" i="21"/>
  <c r="M22" i="21"/>
  <c r="M23" i="21"/>
  <c r="M24" i="21"/>
  <c r="M25" i="21"/>
  <c r="M26" i="21"/>
  <c r="M27" i="21"/>
  <c r="M28" i="21"/>
  <c r="M29" i="21"/>
  <c r="M30" i="21"/>
  <c r="M31" i="21"/>
  <c r="M32" i="21"/>
  <c r="M33" i="21"/>
  <c r="M34" i="21"/>
  <c r="M35" i="21"/>
  <c r="M36" i="21"/>
  <c r="M37" i="21"/>
  <c r="M38" i="21"/>
  <c r="M39" i="21"/>
  <c r="M40" i="21"/>
  <c r="M41" i="21"/>
  <c r="M13" i="21"/>
  <c r="C42" i="21" s="1"/>
  <c r="D7" i="13"/>
  <c r="N3" i="13" a="1"/>
  <c r="N3" i="13" s="1"/>
  <c r="N14" i="11"/>
  <c r="N15" i="11"/>
  <c r="N16" i="11"/>
  <c r="N17" i="11"/>
  <c r="N18" i="11"/>
  <c r="N19" i="11"/>
  <c r="N20" i="11"/>
  <c r="N21" i="11"/>
  <c r="N22" i="11"/>
  <c r="N23" i="11"/>
  <c r="N24" i="11"/>
  <c r="N25" i="11"/>
  <c r="N26" i="11"/>
  <c r="N27" i="11"/>
  <c r="N28" i="11"/>
  <c r="N29" i="11"/>
  <c r="N78" i="11"/>
  <c r="N79" i="11"/>
  <c r="N80" i="11"/>
  <c r="N12" i="11"/>
  <c r="O13" i="11"/>
  <c r="O15" i="11"/>
  <c r="O16" i="11"/>
  <c r="O17" i="11"/>
  <c r="O18" i="11"/>
  <c r="O19" i="11"/>
  <c r="O20" i="11"/>
  <c r="O21" i="11"/>
  <c r="O22" i="11"/>
  <c r="O23" i="11"/>
  <c r="O24" i="11"/>
  <c r="O25" i="11"/>
  <c r="O26" i="11"/>
  <c r="O27" i="11"/>
  <c r="O28" i="11"/>
  <c r="O29" i="11"/>
  <c r="O78" i="11"/>
  <c r="O79" i="11"/>
  <c r="O80" i="11"/>
  <c r="O14" i="11"/>
  <c r="N13" i="11"/>
  <c r="L12" i="11"/>
  <c r="L14" i="11"/>
  <c r="L15" i="11"/>
  <c r="L16" i="11"/>
  <c r="L17" i="11"/>
  <c r="L18" i="11"/>
  <c r="L19" i="11"/>
  <c r="L20" i="11"/>
  <c r="L21" i="11"/>
  <c r="L22" i="11"/>
  <c r="L23" i="11"/>
  <c r="L24" i="11"/>
  <c r="L25" i="11"/>
  <c r="L26" i="11"/>
  <c r="L27" i="11"/>
  <c r="L28" i="11"/>
  <c r="L29" i="11"/>
  <c r="L78" i="11"/>
  <c r="L79" i="11"/>
  <c r="L80" i="11"/>
  <c r="L13" i="11"/>
  <c r="K14" i="11"/>
  <c r="K15" i="11"/>
  <c r="K16" i="11"/>
  <c r="K17" i="11"/>
  <c r="K18" i="11"/>
  <c r="K19" i="11"/>
  <c r="K20" i="11"/>
  <c r="K21" i="11"/>
  <c r="K22" i="11"/>
  <c r="K23" i="11"/>
  <c r="K24" i="11"/>
  <c r="K25" i="11"/>
  <c r="K26" i="11"/>
  <c r="K27" i="11"/>
  <c r="K28" i="11"/>
  <c r="K29" i="11"/>
  <c r="K78" i="11"/>
  <c r="K79" i="11"/>
  <c r="K80" i="11"/>
  <c r="K13" i="11"/>
  <c r="K12" i="11"/>
  <c r="AK25" i="8"/>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S14" i="21"/>
  <c r="S15" i="21"/>
  <c r="S16" i="21"/>
  <c r="S17" i="21"/>
  <c r="S18" i="21"/>
  <c r="S19" i="21"/>
  <c r="S20" i="21"/>
  <c r="S21" i="21"/>
  <c r="S22" i="21"/>
  <c r="S23" i="21"/>
  <c r="S24" i="21"/>
  <c r="S25" i="21"/>
  <c r="S26" i="21"/>
  <c r="S27" i="21"/>
  <c r="S28" i="21"/>
  <c r="S29" i="21"/>
  <c r="S30" i="21"/>
  <c r="S31" i="21"/>
  <c r="S32" i="21"/>
  <c r="S33" i="21"/>
  <c r="S34" i="21"/>
  <c r="S35" i="21"/>
  <c r="S36" i="21"/>
  <c r="S37" i="21"/>
  <c r="S38" i="21"/>
  <c r="S39" i="21"/>
  <c r="S40" i="21"/>
  <c r="S41" i="21"/>
  <c r="R14" i="21"/>
  <c r="R15" i="21"/>
  <c r="R16" i="21"/>
  <c r="R17" i="21"/>
  <c r="R18" i="21"/>
  <c r="R19" i="21"/>
  <c r="R20" i="21"/>
  <c r="R21" i="21"/>
  <c r="R22" i="21"/>
  <c r="R23" i="21"/>
  <c r="R24" i="21"/>
  <c r="R25" i="21"/>
  <c r="R26" i="21"/>
  <c r="R27" i="21"/>
  <c r="R28" i="21"/>
  <c r="R29" i="21"/>
  <c r="R30" i="21"/>
  <c r="R31" i="21"/>
  <c r="R32" i="21"/>
  <c r="R33" i="21"/>
  <c r="R34" i="21"/>
  <c r="R35" i="21"/>
  <c r="R36" i="21"/>
  <c r="R37" i="21"/>
  <c r="R38" i="21"/>
  <c r="R39" i="21"/>
  <c r="R40" i="21"/>
  <c r="R41" i="21"/>
  <c r="Q14" i="21"/>
  <c r="Q15" i="21"/>
  <c r="Q16" i="21"/>
  <c r="Q17" i="21"/>
  <c r="Q18" i="21"/>
  <c r="Q19" i="21"/>
  <c r="Q20" i="21"/>
  <c r="Q21" i="21"/>
  <c r="Q22" i="21"/>
  <c r="Q23" i="21"/>
  <c r="Q24" i="21"/>
  <c r="Q25" i="21"/>
  <c r="Q26" i="21"/>
  <c r="Q27" i="21"/>
  <c r="Q28" i="21"/>
  <c r="Q29" i="21"/>
  <c r="Q30" i="21"/>
  <c r="Q31" i="21"/>
  <c r="Q32" i="21"/>
  <c r="Q33" i="21"/>
  <c r="Q34" i="21"/>
  <c r="Q35" i="21"/>
  <c r="Q36" i="21"/>
  <c r="Q37" i="21"/>
  <c r="Q38" i="21"/>
  <c r="Q39" i="21"/>
  <c r="Q40" i="21"/>
  <c r="Q41" i="21"/>
  <c r="P14" i="21"/>
  <c r="P15" i="21"/>
  <c r="P16" i="21"/>
  <c r="P17" i="21"/>
  <c r="P18" i="21"/>
  <c r="P19" i="21"/>
  <c r="P20" i="21"/>
  <c r="P21" i="21"/>
  <c r="P22" i="21"/>
  <c r="P23" i="21"/>
  <c r="P24" i="21"/>
  <c r="P25" i="21"/>
  <c r="P26" i="21"/>
  <c r="P27" i="21"/>
  <c r="P28" i="21"/>
  <c r="P29" i="21"/>
  <c r="P30" i="21"/>
  <c r="P31" i="21"/>
  <c r="P32" i="21"/>
  <c r="P33" i="21"/>
  <c r="P34" i="21"/>
  <c r="P35" i="21"/>
  <c r="P36" i="21"/>
  <c r="P37" i="21"/>
  <c r="P38" i="21"/>
  <c r="P39" i="21"/>
  <c r="P40" i="21"/>
  <c r="P41"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N14" i="21"/>
  <c r="N15" i="21"/>
  <c r="N16" i="21"/>
  <c r="N17" i="21"/>
  <c r="N18" i="21"/>
  <c r="N19" i="21"/>
  <c r="N20" i="21"/>
  <c r="N21" i="21"/>
  <c r="N22" i="21"/>
  <c r="N23" i="21"/>
  <c r="N24" i="21"/>
  <c r="N25" i="21"/>
  <c r="N26" i="21"/>
  <c r="N27" i="21"/>
  <c r="N28" i="21"/>
  <c r="N29" i="21"/>
  <c r="N30" i="21"/>
  <c r="N31" i="21"/>
  <c r="N32" i="21"/>
  <c r="N33" i="21"/>
  <c r="N34" i="21"/>
  <c r="N35" i="21"/>
  <c r="N36" i="21"/>
  <c r="N37" i="21"/>
  <c r="N38" i="21"/>
  <c r="N39" i="21"/>
  <c r="N40" i="21"/>
  <c r="N41" i="21"/>
  <c r="L14" i="19"/>
  <c r="L15" i="19"/>
  <c r="L16" i="19"/>
  <c r="L17" i="19"/>
  <c r="L18" i="19"/>
  <c r="L19" i="19"/>
  <c r="L20" i="19"/>
  <c r="L21" i="19"/>
  <c r="L22" i="19"/>
  <c r="L23" i="19"/>
  <c r="L24" i="19"/>
  <c r="L25" i="19"/>
  <c r="L26" i="19"/>
  <c r="L27" i="19"/>
  <c r="L28" i="19"/>
  <c r="L29" i="19"/>
  <c r="K14" i="19"/>
  <c r="K15" i="19"/>
  <c r="K16" i="19"/>
  <c r="K17" i="19"/>
  <c r="K18" i="19"/>
  <c r="K19" i="19"/>
  <c r="K20" i="19"/>
  <c r="K21" i="19"/>
  <c r="K22" i="19"/>
  <c r="K23" i="19"/>
  <c r="K24" i="19"/>
  <c r="K25" i="19"/>
  <c r="K26" i="19"/>
  <c r="K27" i="19"/>
  <c r="K28" i="19"/>
  <c r="K29" i="19"/>
  <c r="J14" i="19"/>
  <c r="J15" i="19"/>
  <c r="J16" i="19"/>
  <c r="J17" i="19"/>
  <c r="J18" i="19"/>
  <c r="J19" i="19"/>
  <c r="J20" i="19"/>
  <c r="J21" i="19"/>
  <c r="J22" i="19"/>
  <c r="J23" i="19"/>
  <c r="J24" i="19"/>
  <c r="J25" i="19"/>
  <c r="J26" i="19"/>
  <c r="J27" i="19"/>
  <c r="J28" i="19"/>
  <c r="J29" i="19"/>
  <c r="AB66" i="1" l="1"/>
  <c r="AB67" i="1"/>
  <c r="AB68" i="1"/>
  <c r="AB47" i="1"/>
  <c r="AB101" i="1"/>
  <c r="AB81" i="1"/>
  <c r="AB61" i="1"/>
  <c r="AB78" i="1"/>
  <c r="AB58" i="1"/>
  <c r="AB84" i="1"/>
  <c r="AB64" i="1"/>
  <c r="AB88" i="1"/>
  <c r="AB48" i="1"/>
  <c r="AB87" i="1"/>
  <c r="AB86" i="1"/>
  <c r="AB46" i="1"/>
  <c r="AB83" i="1"/>
  <c r="AB98" i="1"/>
  <c r="AB85" i="1"/>
  <c r="AB65" i="1"/>
  <c r="AB45" i="1"/>
  <c r="AB55" i="1"/>
  <c r="AB53" i="1"/>
  <c r="AB52" i="1"/>
  <c r="AB49" i="1"/>
  <c r="AB95" i="1"/>
  <c r="AB94" i="1"/>
  <c r="AB73" i="1"/>
  <c r="AB69" i="1"/>
  <c r="AB92" i="1"/>
  <c r="AB89" i="1"/>
  <c r="AB100" i="1"/>
  <c r="AB80" i="1"/>
  <c r="AB60" i="1"/>
  <c r="AB75" i="1"/>
  <c r="AB74" i="1"/>
  <c r="AB93" i="1"/>
  <c r="AB72" i="1"/>
  <c r="AB99" i="1"/>
  <c r="AB79" i="1"/>
  <c r="AB59" i="1"/>
  <c r="AB54" i="1"/>
  <c r="AB91" i="1"/>
  <c r="AB71" i="1"/>
  <c r="AB51" i="1"/>
  <c r="AB90" i="1"/>
  <c r="AB70" i="1"/>
  <c r="AB50" i="1"/>
  <c r="M13" i="10"/>
  <c r="M14" i="10"/>
  <c r="M15" i="10"/>
  <c r="M16" i="10"/>
  <c r="M17" i="10"/>
  <c r="M12" i="10"/>
  <c r="AB14" i="8" l="1"/>
  <c r="AA14" i="8"/>
  <c r="Z14" i="8"/>
  <c r="X14" i="8"/>
  <c r="W13" i="8"/>
  <c r="T13" i="21" l="1"/>
  <c r="S13" i="21"/>
  <c r="R13" i="21"/>
  <c r="Q13" i="21"/>
  <c r="P13" i="21"/>
  <c r="O13" i="21"/>
  <c r="N13" i="21"/>
  <c r="N13" i="9"/>
  <c r="J13" i="19" l="1"/>
  <c r="L13" i="19"/>
  <c r="K13" i="19"/>
  <c r="L14" i="20"/>
  <c r="L15" i="20"/>
  <c r="L16" i="20"/>
  <c r="L17" i="20"/>
  <c r="L13" i="20"/>
  <c r="K14" i="20"/>
  <c r="K15" i="20"/>
  <c r="K16" i="20"/>
  <c r="K17" i="20"/>
  <c r="K13" i="20"/>
  <c r="J14" i="20"/>
  <c r="J15" i="20"/>
  <c r="J16" i="20"/>
  <c r="J17" i="20"/>
  <c r="J13" i="20"/>
  <c r="I14" i="20"/>
  <c r="I15" i="20"/>
  <c r="I16" i="20"/>
  <c r="I17" i="20"/>
  <c r="I13" i="20"/>
  <c r="C18" i="20" s="1"/>
  <c r="C25" i="7" s="1"/>
  <c r="G7" i="21" l="1"/>
  <c r="G6" i="21"/>
  <c r="G5" i="21"/>
  <c r="G4" i="21"/>
  <c r="F7" i="20"/>
  <c r="F6" i="20"/>
  <c r="F5" i="20"/>
  <c r="F4" i="20"/>
  <c r="F7" i="19"/>
  <c r="F6" i="19"/>
  <c r="F5" i="19"/>
  <c r="F4" i="19"/>
  <c r="C30" i="19" l="1"/>
  <c r="C24" i="7" s="1"/>
  <c r="C26" i="7"/>
  <c r="G50" i="7" l="1"/>
  <c r="H50" i="7"/>
  <c r="O11" i="6"/>
  <c r="N11" i="6"/>
  <c r="O13" i="6"/>
  <c r="O14" i="6"/>
  <c r="O16" i="6"/>
  <c r="O17" i="6"/>
  <c r="O18" i="6"/>
  <c r="O19" i="6"/>
  <c r="O20" i="6"/>
  <c r="O21" i="6"/>
  <c r="O22" i="6"/>
  <c r="O23" i="6"/>
  <c r="O24" i="6"/>
  <c r="O25" i="6"/>
  <c r="O26" i="6"/>
  <c r="O27" i="6"/>
  <c r="O28" i="6"/>
  <c r="O29" i="6"/>
  <c r="O30" i="6"/>
  <c r="N15" i="6"/>
  <c r="N16" i="6"/>
  <c r="N17" i="6"/>
  <c r="N18" i="6"/>
  <c r="N19" i="6"/>
  <c r="N20" i="6"/>
  <c r="N21" i="6"/>
  <c r="N22" i="6"/>
  <c r="N23" i="6"/>
  <c r="N24" i="6"/>
  <c r="N25" i="6"/>
  <c r="N26" i="6"/>
  <c r="N27" i="6"/>
  <c r="N28" i="6"/>
  <c r="N29" i="6"/>
  <c r="N30" i="6"/>
  <c r="O12" i="6"/>
  <c r="E7" i="6" l="1"/>
  <c r="E6" i="6"/>
  <c r="E5" i="6"/>
  <c r="E4" i="6"/>
  <c r="W47" i="7" l="1"/>
  <c r="C23" i="7"/>
  <c r="AF3" i="13" l="1"/>
  <c r="AG3" i="13"/>
  <c r="AH3" i="13"/>
  <c r="AF4" i="13"/>
  <c r="AG4" i="13"/>
  <c r="AH4" i="13"/>
  <c r="AD14" i="9" l="1"/>
  <c r="AD15" i="9"/>
  <c r="AD16" i="9"/>
  <c r="AD17" i="9"/>
  <c r="AD18" i="9"/>
  <c r="AD19" i="9"/>
  <c r="AD20" i="9"/>
  <c r="AD21" i="9"/>
  <c r="AD22" i="9"/>
  <c r="AD23" i="9"/>
  <c r="AD24" i="9"/>
  <c r="AD25" i="9"/>
  <c r="AD26" i="9"/>
  <c r="AD27" i="9"/>
  <c r="AD28" i="9"/>
  <c r="AD29" i="9"/>
  <c r="AD30" i="9"/>
  <c r="AD31" i="9"/>
  <c r="AD32" i="9"/>
  <c r="AD33" i="9"/>
  <c r="AD34" i="9"/>
  <c r="AD35" i="9"/>
  <c r="AD36" i="9"/>
  <c r="AD37" i="9"/>
  <c r="AD38" i="9"/>
  <c r="AD39" i="9"/>
  <c r="AD40" i="9"/>
  <c r="AD41" i="9"/>
  <c r="AD42" i="9"/>
  <c r="AD43" i="9"/>
  <c r="AD44" i="9"/>
  <c r="AC14" i="9"/>
  <c r="AC15" i="9"/>
  <c r="AC16" i="9"/>
  <c r="AC17" i="9"/>
  <c r="AC18" i="9"/>
  <c r="AC19" i="9"/>
  <c r="AC20" i="9"/>
  <c r="AC21" i="9"/>
  <c r="AC22" i="9"/>
  <c r="AC23" i="9"/>
  <c r="AC24" i="9"/>
  <c r="AC25" i="9"/>
  <c r="AC26" i="9"/>
  <c r="AC27" i="9"/>
  <c r="AC28" i="9"/>
  <c r="AC29" i="9"/>
  <c r="AC30" i="9"/>
  <c r="AC31" i="9"/>
  <c r="AC32" i="9"/>
  <c r="AC33" i="9"/>
  <c r="AC34" i="9"/>
  <c r="AC35" i="9"/>
  <c r="AC36" i="9"/>
  <c r="AC37" i="9"/>
  <c r="AC38" i="9"/>
  <c r="AC39" i="9"/>
  <c r="AC40" i="9"/>
  <c r="AC41" i="9"/>
  <c r="AC42" i="9"/>
  <c r="AC43" i="9"/>
  <c r="AC44" i="9"/>
  <c r="AB14" i="9"/>
  <c r="AB15" i="9"/>
  <c r="AB16" i="9"/>
  <c r="AB17" i="9"/>
  <c r="AB18" i="9"/>
  <c r="AB19" i="9"/>
  <c r="AB20" i="9"/>
  <c r="AB21" i="9"/>
  <c r="AB22" i="9"/>
  <c r="AB23" i="9"/>
  <c r="AB24" i="9"/>
  <c r="AB25" i="9"/>
  <c r="AB26" i="9"/>
  <c r="AB27" i="9"/>
  <c r="AB28" i="9"/>
  <c r="AB29" i="9"/>
  <c r="AB30" i="9"/>
  <c r="AB31" i="9"/>
  <c r="AB32" i="9"/>
  <c r="AB33" i="9"/>
  <c r="AB34" i="9"/>
  <c r="AB35" i="9"/>
  <c r="AB36" i="9"/>
  <c r="AB37" i="9"/>
  <c r="AB38" i="9"/>
  <c r="AB39" i="9"/>
  <c r="AB40" i="9"/>
  <c r="AB41" i="9"/>
  <c r="AB42" i="9"/>
  <c r="AB43" i="9"/>
  <c r="AB44" i="9"/>
  <c r="AA14" i="9"/>
  <c r="AA15" i="9"/>
  <c r="AA16" i="9"/>
  <c r="AA17" i="9"/>
  <c r="AA18" i="9"/>
  <c r="AA19" i="9"/>
  <c r="AA20" i="9"/>
  <c r="AA21" i="9"/>
  <c r="AA22" i="9"/>
  <c r="AA23" i="9"/>
  <c r="AA24" i="9"/>
  <c r="AA25" i="9"/>
  <c r="AA26" i="9"/>
  <c r="AA27" i="9"/>
  <c r="AA28" i="9"/>
  <c r="AA29" i="9"/>
  <c r="AA30" i="9"/>
  <c r="AA31" i="9"/>
  <c r="AA32" i="9"/>
  <c r="AA33" i="9"/>
  <c r="AA34" i="9"/>
  <c r="AA35" i="9"/>
  <c r="AA36" i="9"/>
  <c r="AA37" i="9"/>
  <c r="AA38" i="9"/>
  <c r="AA39" i="9"/>
  <c r="AA40" i="9"/>
  <c r="AA41" i="9"/>
  <c r="AA42" i="9"/>
  <c r="AA43" i="9"/>
  <c r="AA44" i="9"/>
  <c r="Z14" i="9"/>
  <c r="Z15" i="9"/>
  <c r="Z16" i="9"/>
  <c r="Z17" i="9"/>
  <c r="Z18" i="9"/>
  <c r="Z19" i="9"/>
  <c r="Z20" i="9"/>
  <c r="Z21" i="9"/>
  <c r="Z22" i="9"/>
  <c r="Z23" i="9"/>
  <c r="Z24" i="9"/>
  <c r="Z25" i="9"/>
  <c r="Z26" i="9"/>
  <c r="Z27" i="9"/>
  <c r="Z28" i="9"/>
  <c r="Z29" i="9"/>
  <c r="Z30" i="9"/>
  <c r="Z31" i="9"/>
  <c r="Z32" i="9"/>
  <c r="Z33" i="9"/>
  <c r="Z34" i="9"/>
  <c r="Z35" i="9"/>
  <c r="Z36" i="9"/>
  <c r="Z37" i="9"/>
  <c r="Z38" i="9"/>
  <c r="Z39" i="9"/>
  <c r="Z40" i="9"/>
  <c r="Z41" i="9"/>
  <c r="Z42" i="9"/>
  <c r="Z43" i="9"/>
  <c r="Z44" i="9"/>
  <c r="Y14" i="9"/>
  <c r="Y15" i="9"/>
  <c r="Y16" i="9"/>
  <c r="Y17" i="9"/>
  <c r="Y18" i="9"/>
  <c r="Y19" i="9"/>
  <c r="Y20" i="9"/>
  <c r="Y21" i="9"/>
  <c r="Y22" i="9"/>
  <c r="Y23" i="9"/>
  <c r="Y24" i="9"/>
  <c r="Y25" i="9"/>
  <c r="Y26" i="9"/>
  <c r="Y27" i="9"/>
  <c r="Y28" i="9"/>
  <c r="Y29" i="9"/>
  <c r="Y30" i="9"/>
  <c r="Y31" i="9"/>
  <c r="Y32" i="9"/>
  <c r="Y33" i="9"/>
  <c r="Y34" i="9"/>
  <c r="Y35" i="9"/>
  <c r="Y36" i="9"/>
  <c r="Y37" i="9"/>
  <c r="Y38" i="9"/>
  <c r="Y39" i="9"/>
  <c r="Y40" i="9"/>
  <c r="Y41" i="9"/>
  <c r="Y42" i="9"/>
  <c r="Y43" i="9"/>
  <c r="Y44" i="9"/>
  <c r="X14" i="9"/>
  <c r="X15" i="9"/>
  <c r="X16" i="9"/>
  <c r="X17" i="9"/>
  <c r="X18" i="9"/>
  <c r="X19" i="9"/>
  <c r="X20" i="9"/>
  <c r="X21" i="9"/>
  <c r="X22" i="9"/>
  <c r="X23" i="9"/>
  <c r="X24" i="9"/>
  <c r="X25" i="9"/>
  <c r="X26" i="9"/>
  <c r="X27" i="9"/>
  <c r="X28" i="9"/>
  <c r="X29" i="9"/>
  <c r="X30" i="9"/>
  <c r="X31" i="9"/>
  <c r="X32" i="9"/>
  <c r="X33" i="9"/>
  <c r="X34" i="9"/>
  <c r="X35" i="9"/>
  <c r="X36" i="9"/>
  <c r="X37" i="9"/>
  <c r="X38" i="9"/>
  <c r="X39" i="9"/>
  <c r="X40" i="9"/>
  <c r="X41" i="9"/>
  <c r="X42" i="9"/>
  <c r="X43" i="9"/>
  <c r="X44" i="9"/>
  <c r="W14" i="9"/>
  <c r="W15" i="9"/>
  <c r="W16" i="9"/>
  <c r="W17" i="9"/>
  <c r="W18" i="9"/>
  <c r="W19" i="9"/>
  <c r="W20" i="9"/>
  <c r="W21" i="9"/>
  <c r="W22" i="9"/>
  <c r="W23" i="9"/>
  <c r="W24" i="9"/>
  <c r="W25" i="9"/>
  <c r="W26" i="9"/>
  <c r="W27" i="9"/>
  <c r="W28" i="9"/>
  <c r="W29" i="9"/>
  <c r="W30" i="9"/>
  <c r="W31" i="9"/>
  <c r="W32" i="9"/>
  <c r="W33" i="9"/>
  <c r="W34" i="9"/>
  <c r="W35" i="9"/>
  <c r="W36" i="9"/>
  <c r="W37" i="9"/>
  <c r="W38" i="9"/>
  <c r="W39" i="9"/>
  <c r="W40" i="9"/>
  <c r="W41" i="9"/>
  <c r="W42" i="9"/>
  <c r="W43" i="9"/>
  <c r="W44" i="9"/>
  <c r="V14" i="9"/>
  <c r="V15" i="9"/>
  <c r="V16" i="9"/>
  <c r="V17" i="9"/>
  <c r="V18" i="9"/>
  <c r="V19" i="9"/>
  <c r="V20" i="9"/>
  <c r="V21" i="9"/>
  <c r="V22" i="9"/>
  <c r="V23" i="9"/>
  <c r="V24" i="9"/>
  <c r="V25" i="9"/>
  <c r="V26" i="9"/>
  <c r="V27" i="9"/>
  <c r="V28" i="9"/>
  <c r="V29" i="9"/>
  <c r="V30" i="9"/>
  <c r="V31" i="9"/>
  <c r="V32" i="9"/>
  <c r="V33" i="9"/>
  <c r="V34" i="9"/>
  <c r="V35" i="9"/>
  <c r="V36" i="9"/>
  <c r="V37" i="9"/>
  <c r="V38" i="9"/>
  <c r="V39" i="9"/>
  <c r="V40" i="9"/>
  <c r="V41" i="9"/>
  <c r="V42" i="9"/>
  <c r="V43" i="9"/>
  <c r="V44" i="9"/>
  <c r="U14" i="9"/>
  <c r="U15" i="9"/>
  <c r="U16" i="9"/>
  <c r="U17" i="9"/>
  <c r="U18" i="9"/>
  <c r="U19" i="9"/>
  <c r="U20" i="9"/>
  <c r="U21" i="9"/>
  <c r="U22" i="9"/>
  <c r="U23" i="9"/>
  <c r="U24" i="9"/>
  <c r="U25" i="9"/>
  <c r="U26" i="9"/>
  <c r="U27" i="9"/>
  <c r="U28" i="9"/>
  <c r="U29" i="9"/>
  <c r="U30" i="9"/>
  <c r="U31" i="9"/>
  <c r="U32" i="9"/>
  <c r="U33" i="9"/>
  <c r="U34" i="9"/>
  <c r="U35" i="9"/>
  <c r="U36" i="9"/>
  <c r="U37" i="9"/>
  <c r="U38" i="9"/>
  <c r="U39" i="9"/>
  <c r="U40" i="9"/>
  <c r="U41" i="9"/>
  <c r="U42" i="9"/>
  <c r="U43" i="9"/>
  <c r="U44" i="9"/>
  <c r="X13" i="9"/>
  <c r="X12" i="9"/>
  <c r="AA12" i="9"/>
  <c r="AA13" i="9"/>
  <c r="W13" i="9" l="1"/>
  <c r="W12" i="9"/>
  <c r="V13" i="9"/>
  <c r="V12" i="9"/>
  <c r="Y13" i="9"/>
  <c r="Y12" i="9"/>
  <c r="AF12" i="9"/>
  <c r="AE12" i="9"/>
  <c r="AC13" i="9"/>
  <c r="AB13" i="9"/>
  <c r="U13" i="9"/>
  <c r="AC12" i="9"/>
  <c r="AB12" i="9"/>
  <c r="Z13" i="9"/>
  <c r="U12" i="9"/>
  <c r="AA56" i="8"/>
  <c r="AA52" i="8"/>
  <c r="AA53" i="8"/>
  <c r="AA54" i="8"/>
  <c r="AA55" i="8"/>
  <c r="AA39" i="8"/>
  <c r="AA40" i="8"/>
  <c r="AA41" i="8"/>
  <c r="AA42" i="8"/>
  <c r="AA43" i="8"/>
  <c r="AA44" i="8"/>
  <c r="AA45" i="8"/>
  <c r="AA46" i="8"/>
  <c r="AA47" i="8"/>
  <c r="AA48" i="8"/>
  <c r="AA49" i="8"/>
  <c r="AA50" i="8"/>
  <c r="AA51" i="8"/>
  <c r="AA26" i="8"/>
  <c r="AA27" i="8"/>
  <c r="AA28" i="8"/>
  <c r="AA29" i="8"/>
  <c r="AA30" i="8"/>
  <c r="AA31" i="8"/>
  <c r="AA32" i="8"/>
  <c r="AA33" i="8"/>
  <c r="AA34" i="8"/>
  <c r="AA35" i="8"/>
  <c r="AA36" i="8"/>
  <c r="AA37" i="8"/>
  <c r="AA38" i="8"/>
  <c r="AA13" i="8"/>
  <c r="AA15" i="8"/>
  <c r="AA16" i="8"/>
  <c r="AA17" i="8"/>
  <c r="AA18" i="8"/>
  <c r="AA19" i="8"/>
  <c r="AA20" i="8"/>
  <c r="AA21" i="8"/>
  <c r="AA22" i="8"/>
  <c r="AA23" i="8"/>
  <c r="AA24" i="8"/>
  <c r="AA25" i="8"/>
  <c r="AA12" i="8"/>
  <c r="Z12" i="8"/>
  <c r="I61" i="18"/>
  <c r="I50" i="18"/>
  <c r="I56" i="18"/>
  <c r="I44" i="18"/>
  <c r="I73" i="18"/>
  <c r="I66" i="18"/>
  <c r="I55" i="18"/>
  <c r="I22" i="18"/>
  <c r="I69" i="18"/>
  <c r="I70" i="18"/>
  <c r="I27" i="18"/>
  <c r="I67" i="18"/>
  <c r="I68" i="18"/>
  <c r="I74" i="18"/>
  <c r="I75" i="18"/>
  <c r="I76" i="18"/>
  <c r="I77" i="18"/>
  <c r="I78" i="18"/>
  <c r="I79" i="18"/>
  <c r="I84" i="18"/>
  <c r="I85" i="18"/>
  <c r="I90" i="18"/>
  <c r="I91" i="18"/>
  <c r="I92" i="18"/>
  <c r="I93" i="18"/>
  <c r="I94" i="18"/>
  <c r="I95" i="18"/>
  <c r="I96" i="18"/>
  <c r="I97" i="18"/>
  <c r="I98" i="18"/>
  <c r="I99" i="18"/>
  <c r="I100" i="18"/>
  <c r="I89" i="18"/>
  <c r="I83" i="18"/>
  <c r="I72" i="18"/>
  <c r="I65" i="18"/>
  <c r="I53" i="18"/>
  <c r="I54" i="18"/>
  <c r="I59" i="18"/>
  <c r="I60" i="18"/>
  <c r="I58" i="18"/>
  <c r="I52" i="18"/>
  <c r="I47" i="18"/>
  <c r="I48" i="18"/>
  <c r="I49" i="18"/>
  <c r="I46" i="18"/>
  <c r="I30" i="18"/>
  <c r="I31" i="18"/>
  <c r="I33" i="18"/>
  <c r="I34" i="18"/>
  <c r="I35" i="18"/>
  <c r="I36" i="18"/>
  <c r="I37" i="18"/>
  <c r="I38" i="18"/>
  <c r="I39" i="18"/>
  <c r="I40" i="18"/>
  <c r="I41" i="18"/>
  <c r="I42" i="18"/>
  <c r="I43" i="18"/>
  <c r="I29" i="18"/>
  <c r="I26" i="18"/>
  <c r="I19" i="18"/>
  <c r="I20" i="18"/>
  <c r="I21" i="18"/>
  <c r="I18" i="18"/>
  <c r="F8" i="18"/>
  <c r="F7" i="18"/>
  <c r="F6" i="18"/>
  <c r="F5" i="18"/>
  <c r="G7" i="8"/>
  <c r="AJ39" i="8"/>
  <c r="AJ40" i="8"/>
  <c r="AJ41" i="8"/>
  <c r="AJ42" i="8"/>
  <c r="AJ43" i="8"/>
  <c r="AJ44" i="8"/>
  <c r="AJ45" i="8"/>
  <c r="AJ46" i="8"/>
  <c r="AJ47" i="8"/>
  <c r="AJ48" i="8"/>
  <c r="AJ49" i="8"/>
  <c r="AJ50" i="8"/>
  <c r="AJ51" i="8"/>
  <c r="AJ52" i="8"/>
  <c r="AJ53" i="8"/>
  <c r="AJ54" i="8"/>
  <c r="AJ55" i="8"/>
  <c r="AJ56" i="8"/>
  <c r="AI41" i="8"/>
  <c r="AI42" i="8"/>
  <c r="AI43" i="8"/>
  <c r="AI44" i="8"/>
  <c r="AI45" i="8"/>
  <c r="AI46" i="8"/>
  <c r="AI47" i="8"/>
  <c r="AI48" i="8"/>
  <c r="AI49" i="8"/>
  <c r="AI50" i="8"/>
  <c r="AI51" i="8"/>
  <c r="AI52" i="8"/>
  <c r="AI53" i="8"/>
  <c r="AI54" i="8"/>
  <c r="AI55" i="8"/>
  <c r="AI56" i="8"/>
  <c r="AH41" i="8"/>
  <c r="AH42" i="8"/>
  <c r="AH43" i="8"/>
  <c r="AH44" i="8"/>
  <c r="AH45" i="8"/>
  <c r="AH46" i="8"/>
  <c r="AH47" i="8"/>
  <c r="AH48" i="8"/>
  <c r="AH49" i="8"/>
  <c r="AH50" i="8"/>
  <c r="AH51" i="8"/>
  <c r="AH52" i="8"/>
  <c r="AH53" i="8"/>
  <c r="AH54" i="8"/>
  <c r="AH55" i="8"/>
  <c r="AH56" i="8"/>
  <c r="AG41" i="8"/>
  <c r="AG42" i="8"/>
  <c r="AG43" i="8"/>
  <c r="AG44" i="8"/>
  <c r="AG45" i="8"/>
  <c r="AG46" i="8"/>
  <c r="AG47" i="8"/>
  <c r="AG48" i="8"/>
  <c r="AG49" i="8"/>
  <c r="AG50" i="8"/>
  <c r="AG51" i="8"/>
  <c r="AG52" i="8"/>
  <c r="AG53" i="8"/>
  <c r="AG54" i="8"/>
  <c r="AG55" i="8"/>
  <c r="AG56" i="8"/>
  <c r="AF41" i="8"/>
  <c r="AK41" i="8" s="1"/>
  <c r="AF42" i="8"/>
  <c r="AK42" i="8" s="1"/>
  <c r="AF43" i="8"/>
  <c r="AF44" i="8"/>
  <c r="AK44" i="8" s="1"/>
  <c r="AF45" i="8"/>
  <c r="AF46" i="8"/>
  <c r="AF47" i="8"/>
  <c r="AK47" i="8" s="1"/>
  <c r="AF48" i="8"/>
  <c r="AF49" i="8"/>
  <c r="AF50" i="8"/>
  <c r="AK50" i="8" s="1"/>
  <c r="AF51" i="8"/>
  <c r="AF52" i="8"/>
  <c r="AF53" i="8"/>
  <c r="AK53" i="8" s="1"/>
  <c r="AF54" i="8"/>
  <c r="AF55" i="8"/>
  <c r="AF56" i="8"/>
  <c r="AE41" i="8"/>
  <c r="AE42" i="8"/>
  <c r="AE43" i="8"/>
  <c r="AE44" i="8"/>
  <c r="AE45" i="8"/>
  <c r="AE46" i="8"/>
  <c r="AE47" i="8"/>
  <c r="AE48" i="8"/>
  <c r="AE49" i="8"/>
  <c r="AE50" i="8"/>
  <c r="AE51" i="8"/>
  <c r="AE52" i="8"/>
  <c r="AE53" i="8"/>
  <c r="AE54" i="8"/>
  <c r="AE55" i="8"/>
  <c r="AE56" i="8"/>
  <c r="AD47" i="8"/>
  <c r="AD48" i="8"/>
  <c r="AD49" i="8"/>
  <c r="AD50" i="8"/>
  <c r="AD51" i="8"/>
  <c r="AD52" i="8"/>
  <c r="AD53" i="8"/>
  <c r="AD54" i="8"/>
  <c r="AD55" i="8"/>
  <c r="AD56" i="8"/>
  <c r="AC41" i="8"/>
  <c r="AC42" i="8"/>
  <c r="AC43" i="8"/>
  <c r="AC44" i="8"/>
  <c r="AC45" i="8"/>
  <c r="AC46" i="8"/>
  <c r="AC47" i="8"/>
  <c r="AC48" i="8"/>
  <c r="AC49" i="8"/>
  <c r="AC50" i="8"/>
  <c r="AC51" i="8"/>
  <c r="AC52" i="8"/>
  <c r="AC53" i="8"/>
  <c r="AC54" i="8"/>
  <c r="AC55" i="8"/>
  <c r="AC56" i="8"/>
  <c r="AB41" i="8"/>
  <c r="AB42" i="8"/>
  <c r="AB43" i="8"/>
  <c r="AB44" i="8"/>
  <c r="AB45" i="8"/>
  <c r="AB46" i="8"/>
  <c r="AB47" i="8"/>
  <c r="AB48" i="8"/>
  <c r="AB49" i="8"/>
  <c r="AB50" i="8"/>
  <c r="AB51" i="8"/>
  <c r="AB52" i="8"/>
  <c r="AB53" i="8"/>
  <c r="AB54" i="8"/>
  <c r="AB55" i="8"/>
  <c r="AB56" i="8"/>
  <c r="Z41" i="8"/>
  <c r="Z42" i="8"/>
  <c r="Z43" i="8"/>
  <c r="Z44" i="8"/>
  <c r="Z45" i="8"/>
  <c r="Z46" i="8"/>
  <c r="Z47" i="8"/>
  <c r="Z48" i="8"/>
  <c r="Z49" i="8"/>
  <c r="Z50" i="8"/>
  <c r="Z51" i="8"/>
  <c r="Z52" i="8"/>
  <c r="Z53" i="8"/>
  <c r="Z54" i="8"/>
  <c r="Z55" i="8"/>
  <c r="Z56" i="8"/>
  <c r="Y41" i="8"/>
  <c r="Y42" i="8"/>
  <c r="Y43" i="8"/>
  <c r="Y44" i="8"/>
  <c r="Y45" i="8"/>
  <c r="Y46" i="8"/>
  <c r="Y47" i="8"/>
  <c r="Y48" i="8"/>
  <c r="Y49" i="8"/>
  <c r="Y50" i="8"/>
  <c r="Y51" i="8"/>
  <c r="Y52" i="8"/>
  <c r="Y53" i="8"/>
  <c r="Y54" i="8"/>
  <c r="Y55" i="8"/>
  <c r="Y56" i="8"/>
  <c r="X41" i="8"/>
  <c r="X42" i="8"/>
  <c r="X43" i="8"/>
  <c r="X44" i="8"/>
  <c r="X45" i="8"/>
  <c r="X46" i="8"/>
  <c r="X47" i="8"/>
  <c r="X48" i="8"/>
  <c r="X49" i="8"/>
  <c r="X50" i="8"/>
  <c r="X51" i="8"/>
  <c r="X52" i="8"/>
  <c r="X53" i="8"/>
  <c r="X54" i="8"/>
  <c r="X55" i="8"/>
  <c r="X56" i="8"/>
  <c r="W41" i="8"/>
  <c r="W42" i="8"/>
  <c r="W43" i="8"/>
  <c r="W44" i="8"/>
  <c r="W45" i="8"/>
  <c r="W46" i="8"/>
  <c r="W47" i="8"/>
  <c r="W48" i="8"/>
  <c r="W49" i="8"/>
  <c r="W50" i="8"/>
  <c r="W51" i="8"/>
  <c r="W52" i="8"/>
  <c r="W53" i="8"/>
  <c r="W54" i="8"/>
  <c r="W55" i="8"/>
  <c r="W56" i="8"/>
  <c r="V41" i="8"/>
  <c r="V42" i="8"/>
  <c r="V43" i="8"/>
  <c r="V44" i="8"/>
  <c r="V45" i="8"/>
  <c r="V46" i="8"/>
  <c r="V47" i="8"/>
  <c r="V48" i="8"/>
  <c r="V49" i="8"/>
  <c r="V50" i="8"/>
  <c r="V51" i="8"/>
  <c r="V52" i="8"/>
  <c r="V53" i="8"/>
  <c r="V54" i="8"/>
  <c r="V55" i="8"/>
  <c r="V56" i="8"/>
  <c r="U41" i="8"/>
  <c r="U42" i="8"/>
  <c r="U43" i="8"/>
  <c r="U44" i="8"/>
  <c r="U45" i="8"/>
  <c r="U46" i="8"/>
  <c r="U47" i="8"/>
  <c r="U48" i="8"/>
  <c r="U49" i="8"/>
  <c r="U50" i="8"/>
  <c r="U51" i="8"/>
  <c r="U52" i="8"/>
  <c r="U53" i="8"/>
  <c r="U54" i="8"/>
  <c r="U55" i="8"/>
  <c r="U56" i="8"/>
  <c r="AL4" i="13"/>
  <c r="AL5" i="13"/>
  <c r="AL6" i="13"/>
  <c r="AL7" i="13"/>
  <c r="AL8" i="13"/>
  <c r="AL9" i="13"/>
  <c r="AL10" i="13"/>
  <c r="AL11" i="13"/>
  <c r="AL12" i="13"/>
  <c r="AL13" i="13"/>
  <c r="AL14" i="13"/>
  <c r="AL15" i="13"/>
  <c r="AL16" i="13"/>
  <c r="AL17" i="13"/>
  <c r="AL18" i="13"/>
  <c r="AL19" i="13"/>
  <c r="AL20" i="13"/>
  <c r="AL21" i="13"/>
  <c r="AL22" i="13"/>
  <c r="AL23" i="13"/>
  <c r="AL24" i="13"/>
  <c r="AL25" i="13"/>
  <c r="AL26" i="13"/>
  <c r="AL27" i="13"/>
  <c r="AL28" i="13"/>
  <c r="AL29" i="13"/>
  <c r="AL30" i="13"/>
  <c r="AL31" i="13"/>
  <c r="AL32" i="13"/>
  <c r="AL33" i="13"/>
  <c r="AL34" i="13"/>
  <c r="AL35" i="13"/>
  <c r="AL36" i="13"/>
  <c r="AL37" i="13"/>
  <c r="AK4" i="13"/>
  <c r="AK5" i="13"/>
  <c r="AK6" i="13"/>
  <c r="AK7" i="13"/>
  <c r="AK8" i="13"/>
  <c r="AK9" i="13"/>
  <c r="AK10" i="13"/>
  <c r="AK11" i="13"/>
  <c r="AK12" i="13"/>
  <c r="AK13" i="13"/>
  <c r="AK14" i="13"/>
  <c r="AK15" i="13"/>
  <c r="AK16" i="13"/>
  <c r="AK17" i="13"/>
  <c r="AK18" i="13"/>
  <c r="AK19" i="13"/>
  <c r="AK20" i="13"/>
  <c r="AK21" i="13"/>
  <c r="AK22" i="13"/>
  <c r="AK23" i="13"/>
  <c r="AK24" i="13"/>
  <c r="AK25" i="13"/>
  <c r="AK26" i="13"/>
  <c r="AK27" i="13"/>
  <c r="AK28" i="13"/>
  <c r="AK29" i="13"/>
  <c r="AK30" i="13"/>
  <c r="AK31" i="13"/>
  <c r="AK32" i="13"/>
  <c r="AK33" i="13"/>
  <c r="AK34" i="13"/>
  <c r="AK35" i="13"/>
  <c r="AK36" i="13"/>
  <c r="AK37" i="13"/>
  <c r="AL3" i="13"/>
  <c r="AK3" i="13"/>
  <c r="AE12" i="8"/>
  <c r="AI16" i="8"/>
  <c r="AI17" i="8"/>
  <c r="AI18" i="8"/>
  <c r="AI19" i="8"/>
  <c r="AI20" i="8"/>
  <c r="AI21" i="8"/>
  <c r="AI22" i="8"/>
  <c r="AI23" i="8"/>
  <c r="AI24" i="8"/>
  <c r="AI25" i="8"/>
  <c r="AI26" i="8"/>
  <c r="AI27" i="8"/>
  <c r="AI28" i="8"/>
  <c r="AI29" i="8"/>
  <c r="AI30" i="8"/>
  <c r="AI31" i="8"/>
  <c r="AI32" i="8"/>
  <c r="AI33" i="8"/>
  <c r="AI34" i="8"/>
  <c r="AI35" i="8"/>
  <c r="AI36" i="8"/>
  <c r="AI37" i="8"/>
  <c r="AI38" i="8"/>
  <c r="AI39" i="8"/>
  <c r="AI40" i="8"/>
  <c r="AH5" i="13"/>
  <c r="AH6" i="13"/>
  <c r="AH7" i="13"/>
  <c r="AH8" i="13"/>
  <c r="AH9" i="13"/>
  <c r="AH10" i="13"/>
  <c r="AH11" i="13"/>
  <c r="AH12" i="13"/>
  <c r="AH13" i="13"/>
  <c r="AH14" i="13"/>
  <c r="AH15" i="13"/>
  <c r="AH16" i="13"/>
  <c r="AH17" i="13"/>
  <c r="AH18" i="13"/>
  <c r="AH19" i="13"/>
  <c r="AH20" i="13"/>
  <c r="AH21" i="13"/>
  <c r="AH22" i="13"/>
  <c r="AH23" i="13"/>
  <c r="AH24" i="13"/>
  <c r="AH25" i="13"/>
  <c r="AH26" i="13"/>
  <c r="AH27" i="13"/>
  <c r="AH28" i="13"/>
  <c r="AH29" i="13"/>
  <c r="AH30" i="13"/>
  <c r="AH31" i="13"/>
  <c r="AH32" i="13"/>
  <c r="AH33" i="13"/>
  <c r="AH34" i="13"/>
  <c r="AH35" i="13"/>
  <c r="AH36" i="13"/>
  <c r="AH37" i="13"/>
  <c r="AG5" i="13"/>
  <c r="AG6" i="13"/>
  <c r="AG7" i="13"/>
  <c r="AG8" i="13"/>
  <c r="AG9" i="13"/>
  <c r="AG10" i="13"/>
  <c r="AG11" i="13"/>
  <c r="AG12" i="13"/>
  <c r="AG13" i="13"/>
  <c r="AG14" i="13"/>
  <c r="AG15" i="13"/>
  <c r="AG16" i="13"/>
  <c r="AG17" i="13"/>
  <c r="AG18" i="13"/>
  <c r="AG19" i="13"/>
  <c r="AG20" i="13"/>
  <c r="AG21" i="13"/>
  <c r="AG22" i="13"/>
  <c r="AG23" i="13"/>
  <c r="AG24" i="13"/>
  <c r="AG25" i="13"/>
  <c r="AG26" i="13"/>
  <c r="AG27" i="13"/>
  <c r="AG28" i="13"/>
  <c r="AG29" i="13"/>
  <c r="AG30" i="13"/>
  <c r="AG31" i="13"/>
  <c r="AG32" i="13"/>
  <c r="AG33" i="13"/>
  <c r="AG34" i="13"/>
  <c r="AG35" i="13"/>
  <c r="AG36" i="13"/>
  <c r="AG37" i="13"/>
  <c r="AF27" i="13"/>
  <c r="AF28" i="13"/>
  <c r="AF29" i="13"/>
  <c r="AF30" i="13"/>
  <c r="AF31" i="13"/>
  <c r="AF32" i="13"/>
  <c r="AF33" i="13"/>
  <c r="AF34" i="13"/>
  <c r="AF35" i="13"/>
  <c r="AF36" i="13"/>
  <c r="AF37" i="13"/>
  <c r="AF5" i="13"/>
  <c r="AF6" i="13"/>
  <c r="AF7" i="13"/>
  <c r="AF8" i="13"/>
  <c r="AF9" i="13"/>
  <c r="AF10" i="13"/>
  <c r="AF11" i="13"/>
  <c r="AF12" i="13"/>
  <c r="AF13" i="13"/>
  <c r="AF14" i="13"/>
  <c r="AF15" i="13"/>
  <c r="AF16" i="13"/>
  <c r="AF17" i="13"/>
  <c r="AF18" i="13"/>
  <c r="AF19" i="13"/>
  <c r="AF20" i="13"/>
  <c r="AF21" i="13"/>
  <c r="AF22" i="13"/>
  <c r="AF23" i="13"/>
  <c r="AF24" i="13"/>
  <c r="AF25" i="13"/>
  <c r="AF26" i="13"/>
  <c r="AC13" i="8"/>
  <c r="AC14" i="8"/>
  <c r="AC15" i="8"/>
  <c r="AC16" i="8"/>
  <c r="AC17" i="8"/>
  <c r="AC18" i="8"/>
  <c r="AC19" i="8"/>
  <c r="AC20" i="8"/>
  <c r="AC21" i="8"/>
  <c r="AC22" i="8"/>
  <c r="AC23" i="8"/>
  <c r="AC24" i="8"/>
  <c r="AC25" i="8"/>
  <c r="AC26" i="8"/>
  <c r="AC27" i="8"/>
  <c r="AC28" i="8"/>
  <c r="AC29" i="8"/>
  <c r="AC30" i="8"/>
  <c r="AC31" i="8"/>
  <c r="AC32" i="8"/>
  <c r="AC33" i="8"/>
  <c r="AC34" i="8"/>
  <c r="AC35" i="8"/>
  <c r="AC36" i="8"/>
  <c r="AC37" i="8"/>
  <c r="AC38" i="8"/>
  <c r="AC39" i="8"/>
  <c r="AC40" i="8"/>
  <c r="AB13" i="8"/>
  <c r="AB15" i="8"/>
  <c r="AB16" i="8"/>
  <c r="AB17" i="8"/>
  <c r="AB18" i="8"/>
  <c r="AB19" i="8"/>
  <c r="AB20" i="8"/>
  <c r="AB21" i="8"/>
  <c r="AB22" i="8"/>
  <c r="AJ22" i="8" s="1"/>
  <c r="AB23" i="8"/>
  <c r="AB24" i="8"/>
  <c r="AB25" i="8"/>
  <c r="AB26" i="8"/>
  <c r="AB27" i="8"/>
  <c r="AB28" i="8"/>
  <c r="AB29" i="8"/>
  <c r="AB30" i="8"/>
  <c r="AB31" i="8"/>
  <c r="AB32" i="8"/>
  <c r="AB33" i="8"/>
  <c r="AB34" i="8"/>
  <c r="AB35" i="8"/>
  <c r="AB36" i="8"/>
  <c r="AB37" i="8"/>
  <c r="AB38" i="8"/>
  <c r="AB39" i="8"/>
  <c r="AB40" i="8"/>
  <c r="AB12" i="8"/>
  <c r="AC12" i="8"/>
  <c r="Y13" i="8"/>
  <c r="Y14" i="8"/>
  <c r="Y15" i="8"/>
  <c r="Y16" i="8"/>
  <c r="Y17" i="8"/>
  <c r="Y18" i="8"/>
  <c r="Y19" i="8"/>
  <c r="Y20" i="8"/>
  <c r="Y21" i="8"/>
  <c r="Y22" i="8"/>
  <c r="Y23" i="8"/>
  <c r="Y24" i="8"/>
  <c r="Y25" i="8"/>
  <c r="Y26" i="8"/>
  <c r="Y27" i="8"/>
  <c r="Y28" i="8"/>
  <c r="Y29" i="8"/>
  <c r="Y30" i="8"/>
  <c r="Y31" i="8"/>
  <c r="Y32" i="8"/>
  <c r="Y33" i="8"/>
  <c r="Y34" i="8"/>
  <c r="Y35" i="8"/>
  <c r="Y36" i="8"/>
  <c r="Y37" i="8"/>
  <c r="Y38" i="8"/>
  <c r="Y39" i="8"/>
  <c r="Y40" i="8"/>
  <c r="Y12" i="8"/>
  <c r="X13" i="8"/>
  <c r="X15" i="8"/>
  <c r="X16" i="8"/>
  <c r="X17" i="8"/>
  <c r="X18" i="8"/>
  <c r="X19" i="8"/>
  <c r="X20" i="8"/>
  <c r="X21" i="8"/>
  <c r="X22" i="8"/>
  <c r="X23" i="8"/>
  <c r="X24" i="8"/>
  <c r="X25" i="8"/>
  <c r="X26" i="8"/>
  <c r="X27" i="8"/>
  <c r="X28" i="8"/>
  <c r="X29" i="8"/>
  <c r="X30" i="8"/>
  <c r="X31" i="8"/>
  <c r="X32" i="8"/>
  <c r="X33" i="8"/>
  <c r="X34" i="8"/>
  <c r="X35" i="8"/>
  <c r="X36" i="8"/>
  <c r="X37" i="8"/>
  <c r="X38" i="8"/>
  <c r="X39" i="8"/>
  <c r="X40" i="8"/>
  <c r="X12" i="8"/>
  <c r="V9" i="13"/>
  <c r="AF32" i="9"/>
  <c r="AF33" i="9"/>
  <c r="AF34" i="9"/>
  <c r="AF35" i="9"/>
  <c r="AF36" i="9"/>
  <c r="AF37" i="9"/>
  <c r="AF38" i="9"/>
  <c r="AF39" i="9"/>
  <c r="AF40" i="9"/>
  <c r="AF41" i="9"/>
  <c r="AF42" i="9"/>
  <c r="AF43" i="9"/>
  <c r="AF44" i="9"/>
  <c r="AE32" i="9"/>
  <c r="AE33" i="9"/>
  <c r="AE34" i="9"/>
  <c r="AE35" i="9"/>
  <c r="AE36" i="9"/>
  <c r="AE37" i="9"/>
  <c r="AE38" i="9"/>
  <c r="AE39" i="9"/>
  <c r="AE40" i="9"/>
  <c r="AE41" i="9"/>
  <c r="AE42" i="9"/>
  <c r="AE43" i="9"/>
  <c r="AE44" i="9"/>
  <c r="T32" i="9"/>
  <c r="T33" i="9"/>
  <c r="T34" i="9"/>
  <c r="T35" i="9"/>
  <c r="T36" i="9"/>
  <c r="T37" i="9"/>
  <c r="T38" i="9"/>
  <c r="T39" i="9"/>
  <c r="T40" i="9"/>
  <c r="T41" i="9"/>
  <c r="T42" i="9"/>
  <c r="T43" i="9"/>
  <c r="T44" i="9"/>
  <c r="S32" i="9"/>
  <c r="S33" i="9"/>
  <c r="S34" i="9"/>
  <c r="S35" i="9"/>
  <c r="S36" i="9"/>
  <c r="S37" i="9"/>
  <c r="S38" i="9"/>
  <c r="S39" i="9"/>
  <c r="S40" i="9"/>
  <c r="S41" i="9"/>
  <c r="S42" i="9"/>
  <c r="S43" i="9"/>
  <c r="S44" i="9"/>
  <c r="R32" i="9"/>
  <c r="R33" i="9"/>
  <c r="R34" i="9"/>
  <c r="R35" i="9"/>
  <c r="R36" i="9"/>
  <c r="R37" i="9"/>
  <c r="R38" i="9"/>
  <c r="R39" i="9"/>
  <c r="R40" i="9"/>
  <c r="R41" i="9"/>
  <c r="R42" i="9"/>
  <c r="R43" i="9"/>
  <c r="R44" i="9"/>
  <c r="Q32" i="9"/>
  <c r="Q33" i="9"/>
  <c r="Q34" i="9"/>
  <c r="Q35" i="9"/>
  <c r="Q36" i="9"/>
  <c r="Q37" i="9"/>
  <c r="Q38" i="9"/>
  <c r="Q39" i="9"/>
  <c r="Q40" i="9"/>
  <c r="Q41" i="9"/>
  <c r="Q42" i="9"/>
  <c r="Q43" i="9"/>
  <c r="Q44" i="9"/>
  <c r="P32" i="9"/>
  <c r="P33" i="9"/>
  <c r="P34" i="9"/>
  <c r="P35" i="9"/>
  <c r="P36" i="9"/>
  <c r="P37" i="9"/>
  <c r="P38" i="9"/>
  <c r="P39" i="9"/>
  <c r="P40" i="9"/>
  <c r="P41" i="9"/>
  <c r="P42" i="9"/>
  <c r="P43" i="9"/>
  <c r="P44" i="9"/>
  <c r="O32" i="9"/>
  <c r="O33" i="9"/>
  <c r="O34" i="9"/>
  <c r="O35" i="9"/>
  <c r="O36" i="9"/>
  <c r="O37" i="9"/>
  <c r="O38" i="9"/>
  <c r="O39" i="9"/>
  <c r="O40" i="9"/>
  <c r="O41" i="9"/>
  <c r="O42" i="9"/>
  <c r="O43" i="9"/>
  <c r="O44" i="9"/>
  <c r="N32" i="9"/>
  <c r="N33" i="9"/>
  <c r="N34" i="9"/>
  <c r="N35" i="9"/>
  <c r="N36" i="9"/>
  <c r="N37" i="9"/>
  <c r="N38" i="9"/>
  <c r="N39" i="9"/>
  <c r="N40" i="9"/>
  <c r="N41" i="9"/>
  <c r="N42" i="9"/>
  <c r="N43" i="9"/>
  <c r="N44" i="9"/>
  <c r="AE13" i="8"/>
  <c r="AE14" i="8"/>
  <c r="AE15" i="8"/>
  <c r="AE16" i="8"/>
  <c r="AE17" i="8"/>
  <c r="AE18" i="8"/>
  <c r="AE19" i="8"/>
  <c r="AE20" i="8"/>
  <c r="AE21" i="8"/>
  <c r="AE22" i="8"/>
  <c r="AE23" i="8"/>
  <c r="AE24" i="8"/>
  <c r="AE25" i="8"/>
  <c r="AE26" i="8"/>
  <c r="AE27" i="8"/>
  <c r="AE28" i="8"/>
  <c r="AE29" i="8"/>
  <c r="AE30" i="8"/>
  <c r="AE31" i="8"/>
  <c r="AE32" i="8"/>
  <c r="AE33" i="8"/>
  <c r="AE34" i="8"/>
  <c r="AE35" i="8"/>
  <c r="AE36" i="8"/>
  <c r="AE37" i="8"/>
  <c r="AE38" i="8"/>
  <c r="AE39" i="8"/>
  <c r="AE40" i="8"/>
  <c r="Z13" i="8"/>
  <c r="Z15" i="8"/>
  <c r="Z16" i="8"/>
  <c r="Z17" i="8"/>
  <c r="Z18" i="8"/>
  <c r="Z19" i="8"/>
  <c r="Z20" i="8"/>
  <c r="Z21" i="8"/>
  <c r="Z22" i="8"/>
  <c r="Z23" i="8"/>
  <c r="Z24" i="8"/>
  <c r="Z25" i="8"/>
  <c r="Z26" i="8"/>
  <c r="Z27" i="8"/>
  <c r="Z28" i="8"/>
  <c r="Z29" i="8"/>
  <c r="Z30" i="8"/>
  <c r="Z31" i="8"/>
  <c r="Z32" i="8"/>
  <c r="Z33" i="8"/>
  <c r="Z34" i="8"/>
  <c r="Z35" i="8"/>
  <c r="Z36" i="8"/>
  <c r="Z37" i="8"/>
  <c r="Z38" i="8"/>
  <c r="Z39" i="8"/>
  <c r="Z40" i="8"/>
  <c r="W14" i="8"/>
  <c r="W15" i="8"/>
  <c r="W16" i="8"/>
  <c r="W17" i="8"/>
  <c r="W18" i="8"/>
  <c r="W19" i="8"/>
  <c r="W20" i="8"/>
  <c r="W21" i="8"/>
  <c r="W22" i="8"/>
  <c r="W23" i="8"/>
  <c r="W24" i="8"/>
  <c r="W25" i="8"/>
  <c r="W26" i="8"/>
  <c r="W27" i="8"/>
  <c r="W28" i="8"/>
  <c r="W29" i="8"/>
  <c r="W30" i="8"/>
  <c r="W31" i="8"/>
  <c r="W32" i="8"/>
  <c r="W33" i="8"/>
  <c r="W34" i="8"/>
  <c r="W35" i="8"/>
  <c r="W36" i="8"/>
  <c r="W37" i="8"/>
  <c r="W38" i="8"/>
  <c r="W39" i="8"/>
  <c r="W40" i="8"/>
  <c r="V13" i="8"/>
  <c r="V14" i="8"/>
  <c r="V15" i="8"/>
  <c r="V16" i="8"/>
  <c r="V17" i="8"/>
  <c r="V18" i="8"/>
  <c r="V19" i="8"/>
  <c r="V20" i="8"/>
  <c r="V21" i="8"/>
  <c r="V22" i="8"/>
  <c r="V23" i="8"/>
  <c r="V24" i="8"/>
  <c r="V25" i="8"/>
  <c r="V26" i="8"/>
  <c r="V27" i="8"/>
  <c r="V28" i="8"/>
  <c r="V29" i="8"/>
  <c r="V30" i="8"/>
  <c r="V31" i="8"/>
  <c r="V32" i="8"/>
  <c r="V33" i="8"/>
  <c r="V34" i="8"/>
  <c r="V35" i="8"/>
  <c r="V36" i="8"/>
  <c r="V37" i="8"/>
  <c r="V38" i="8"/>
  <c r="V39" i="8"/>
  <c r="V40" i="8"/>
  <c r="U13" i="8"/>
  <c r="U14" i="8"/>
  <c r="U15" i="8"/>
  <c r="U16" i="8"/>
  <c r="U17" i="8"/>
  <c r="U18" i="8"/>
  <c r="U19" i="8"/>
  <c r="U20" i="8"/>
  <c r="U21" i="8"/>
  <c r="U22" i="8"/>
  <c r="U23" i="8"/>
  <c r="U24" i="8"/>
  <c r="U25" i="8"/>
  <c r="U26" i="8"/>
  <c r="U27" i="8"/>
  <c r="U28" i="8"/>
  <c r="U29" i="8"/>
  <c r="U30" i="8"/>
  <c r="U31" i="8"/>
  <c r="U32" i="8"/>
  <c r="U33" i="8"/>
  <c r="U34" i="8"/>
  <c r="U35" i="8"/>
  <c r="U36" i="8"/>
  <c r="U37" i="8"/>
  <c r="U38" i="8"/>
  <c r="U39" i="8"/>
  <c r="U40" i="8"/>
  <c r="AH13" i="8"/>
  <c r="AH14" i="8"/>
  <c r="AH15" i="8"/>
  <c r="AH16" i="8"/>
  <c r="AH17" i="8"/>
  <c r="AH18" i="8"/>
  <c r="AH19" i="8"/>
  <c r="AH20" i="8"/>
  <c r="AH21" i="8"/>
  <c r="AH22" i="8"/>
  <c r="AH23" i="8"/>
  <c r="AH24" i="8"/>
  <c r="AH25" i="8"/>
  <c r="AH26" i="8"/>
  <c r="AH27" i="8"/>
  <c r="AH28" i="8"/>
  <c r="AH29" i="8"/>
  <c r="AH30" i="8"/>
  <c r="AH31" i="8"/>
  <c r="AH32" i="8"/>
  <c r="AH33" i="8"/>
  <c r="AH34" i="8"/>
  <c r="AH35" i="8"/>
  <c r="AH36" i="8"/>
  <c r="AH37" i="8"/>
  <c r="AH38" i="8"/>
  <c r="AH39" i="8"/>
  <c r="AH40" i="8"/>
  <c r="AG13" i="8"/>
  <c r="AG14" i="8"/>
  <c r="AG15" i="8"/>
  <c r="AG16" i="8"/>
  <c r="AG17" i="8"/>
  <c r="AG18" i="8"/>
  <c r="AG19" i="8"/>
  <c r="AG20" i="8"/>
  <c r="AG21" i="8"/>
  <c r="AG22" i="8"/>
  <c r="AG23" i="8"/>
  <c r="AG24" i="8"/>
  <c r="AG25" i="8"/>
  <c r="AG26" i="8"/>
  <c r="AG27" i="8"/>
  <c r="AG28" i="8"/>
  <c r="AG29" i="8"/>
  <c r="AG30" i="8"/>
  <c r="AG31" i="8"/>
  <c r="AG32" i="8"/>
  <c r="AG33" i="8"/>
  <c r="AG34" i="8"/>
  <c r="AG35" i="8"/>
  <c r="AG36" i="8"/>
  <c r="AG37" i="8"/>
  <c r="AG38" i="8"/>
  <c r="AG39" i="8"/>
  <c r="AG40" i="8"/>
  <c r="AF13" i="8"/>
  <c r="AF14" i="8"/>
  <c r="AF15" i="8"/>
  <c r="AF16" i="8"/>
  <c r="AF17" i="8"/>
  <c r="AF18" i="8"/>
  <c r="AF19" i="8"/>
  <c r="AF20" i="8"/>
  <c r="AF21" i="8"/>
  <c r="AF22" i="8"/>
  <c r="AF23" i="8"/>
  <c r="AF24" i="8"/>
  <c r="AF25" i="8"/>
  <c r="AF26" i="8"/>
  <c r="AF27" i="8"/>
  <c r="AF28" i="8"/>
  <c r="AF29" i="8"/>
  <c r="AF30" i="8"/>
  <c r="AF31" i="8"/>
  <c r="AF32" i="8"/>
  <c r="AF33" i="8"/>
  <c r="AF34" i="8"/>
  <c r="AF35" i="8"/>
  <c r="AF36" i="8"/>
  <c r="AF37" i="8"/>
  <c r="AF38" i="8"/>
  <c r="AF39" i="8"/>
  <c r="AF40" i="8"/>
  <c r="AH12" i="8"/>
  <c r="AG12" i="8"/>
  <c r="W12" i="8"/>
  <c r="V12" i="8"/>
  <c r="T12" i="1"/>
  <c r="T13" i="1"/>
  <c r="T14" i="1"/>
  <c r="T15" i="1"/>
  <c r="T16" i="1"/>
  <c r="T17" i="1"/>
  <c r="T18" i="1"/>
  <c r="T19" i="1"/>
  <c r="T20" i="1"/>
  <c r="T21" i="1"/>
  <c r="T22" i="1"/>
  <c r="T23" i="1"/>
  <c r="T24" i="1"/>
  <c r="T25" i="1"/>
  <c r="T26" i="1"/>
  <c r="T27" i="1"/>
  <c r="T28" i="1"/>
  <c r="T29" i="1"/>
  <c r="T30" i="1"/>
  <c r="T31" i="1"/>
  <c r="T32" i="1"/>
  <c r="T33" i="1"/>
  <c r="T34" i="1"/>
  <c r="T35" i="1"/>
  <c r="T36" i="1"/>
  <c r="T37" i="1"/>
  <c r="T38" i="1"/>
  <c r="T39" i="1"/>
  <c r="T40" i="1"/>
  <c r="T41" i="1"/>
  <c r="T42" i="1"/>
  <c r="T43" i="1"/>
  <c r="T44" i="1"/>
  <c r="T11" i="1"/>
  <c r="AC14" i="13"/>
  <c r="AC15" i="13"/>
  <c r="AD15" i="13"/>
  <c r="AC16" i="13"/>
  <c r="AC17" i="13"/>
  <c r="AD17" i="13"/>
  <c r="AD16" i="13"/>
  <c r="AD14" i="13"/>
  <c r="AF12" i="8"/>
  <c r="AA12" i="1"/>
  <c r="AC12" i="1"/>
  <c r="AD12" i="1"/>
  <c r="AA13" i="1"/>
  <c r="AC13" i="1"/>
  <c r="AD13" i="1"/>
  <c r="AA14" i="1"/>
  <c r="AC14" i="1"/>
  <c r="AD14" i="1"/>
  <c r="AA15" i="1"/>
  <c r="AC15" i="1"/>
  <c r="AD15" i="1"/>
  <c r="AA16" i="1"/>
  <c r="AC16" i="1"/>
  <c r="AD16" i="1"/>
  <c r="AA17" i="1"/>
  <c r="AC17" i="1"/>
  <c r="AD17" i="1"/>
  <c r="AA18" i="1"/>
  <c r="AC18" i="1"/>
  <c r="AD18" i="1"/>
  <c r="AA19" i="1"/>
  <c r="AC19" i="1"/>
  <c r="AD19" i="1"/>
  <c r="AA20" i="1"/>
  <c r="AC20" i="1"/>
  <c r="AD20" i="1"/>
  <c r="AA21" i="1"/>
  <c r="AC21" i="1"/>
  <c r="AD21" i="1"/>
  <c r="AA22" i="1"/>
  <c r="AC22" i="1"/>
  <c r="AD22" i="1"/>
  <c r="AA23" i="1"/>
  <c r="AC23" i="1"/>
  <c r="AD23" i="1"/>
  <c r="AA24" i="1"/>
  <c r="AC24" i="1"/>
  <c r="AD24" i="1"/>
  <c r="AA25" i="1"/>
  <c r="AC25" i="1"/>
  <c r="AD25" i="1"/>
  <c r="AA26" i="1"/>
  <c r="AC26" i="1"/>
  <c r="AD26" i="1"/>
  <c r="AA27" i="1"/>
  <c r="AC27" i="1"/>
  <c r="AD27" i="1"/>
  <c r="AA28" i="1"/>
  <c r="AC28" i="1"/>
  <c r="AD28" i="1"/>
  <c r="AA29" i="1"/>
  <c r="AC29" i="1"/>
  <c r="AD29" i="1"/>
  <c r="AA30" i="1"/>
  <c r="AC30" i="1"/>
  <c r="AD30" i="1"/>
  <c r="AA31" i="1"/>
  <c r="AC31" i="1"/>
  <c r="AD31" i="1"/>
  <c r="AA32" i="1"/>
  <c r="AC32" i="1"/>
  <c r="AD32" i="1"/>
  <c r="AA33" i="1"/>
  <c r="AC33" i="1"/>
  <c r="AD33" i="1"/>
  <c r="AA34" i="1"/>
  <c r="AC34" i="1"/>
  <c r="AD34" i="1"/>
  <c r="AA35" i="1"/>
  <c r="AC35" i="1"/>
  <c r="AD35" i="1"/>
  <c r="AA36" i="1"/>
  <c r="AC36" i="1"/>
  <c r="AD36" i="1"/>
  <c r="AA37" i="1"/>
  <c r="AC37" i="1"/>
  <c r="AD37" i="1"/>
  <c r="AA38" i="1"/>
  <c r="AC38" i="1"/>
  <c r="AD38" i="1"/>
  <c r="AA39" i="1"/>
  <c r="AC39" i="1"/>
  <c r="AD39" i="1"/>
  <c r="AA40" i="1"/>
  <c r="AC40" i="1"/>
  <c r="AD40" i="1"/>
  <c r="AA41" i="1"/>
  <c r="AC41" i="1"/>
  <c r="AD41" i="1"/>
  <c r="AA42" i="1"/>
  <c r="AC42" i="1"/>
  <c r="AD42" i="1"/>
  <c r="AA43" i="1"/>
  <c r="AC43" i="1"/>
  <c r="AD43" i="1"/>
  <c r="AA44" i="1"/>
  <c r="AC44" i="1"/>
  <c r="AD44" i="1"/>
  <c r="AC11" i="1"/>
  <c r="AD11" i="1"/>
  <c r="AA11" i="1"/>
  <c r="F22" i="13"/>
  <c r="F21" i="13"/>
  <c r="W52" i="7"/>
  <c r="O53" i="7"/>
  <c r="P53" i="7"/>
  <c r="J14" i="13"/>
  <c r="J19" i="13"/>
  <c r="J18" i="13"/>
  <c r="J17" i="13"/>
  <c r="J16" i="13"/>
  <c r="J15" i="13"/>
  <c r="K15" i="13"/>
  <c r="K16" i="13"/>
  <c r="K17" i="13"/>
  <c r="K18" i="13"/>
  <c r="K19" i="13"/>
  <c r="K14" i="13"/>
  <c r="U12" i="1"/>
  <c r="U13" i="1"/>
  <c r="U14" i="1"/>
  <c r="U15" i="1"/>
  <c r="U16" i="1"/>
  <c r="U17" i="1"/>
  <c r="U18" i="1"/>
  <c r="U19" i="1"/>
  <c r="U20" i="1"/>
  <c r="U21" i="1"/>
  <c r="U22" i="1"/>
  <c r="U23" i="1"/>
  <c r="U24" i="1"/>
  <c r="U25" i="1"/>
  <c r="U26" i="1"/>
  <c r="U27" i="1"/>
  <c r="U28" i="1"/>
  <c r="U29" i="1"/>
  <c r="U30" i="1"/>
  <c r="U31" i="1"/>
  <c r="U32" i="1"/>
  <c r="U33" i="1"/>
  <c r="U34" i="1"/>
  <c r="U35" i="1"/>
  <c r="U36" i="1"/>
  <c r="U37" i="1"/>
  <c r="U38" i="1"/>
  <c r="U39" i="1"/>
  <c r="U40" i="1"/>
  <c r="U41" i="1"/>
  <c r="U42" i="1"/>
  <c r="U43" i="1"/>
  <c r="U44" i="1"/>
  <c r="U11" i="1"/>
  <c r="M13" i="11"/>
  <c r="M14" i="11"/>
  <c r="M15" i="11"/>
  <c r="M16" i="11"/>
  <c r="M17" i="11"/>
  <c r="M18" i="11"/>
  <c r="M19" i="11"/>
  <c r="M20" i="11"/>
  <c r="M21" i="11"/>
  <c r="M22" i="11"/>
  <c r="M23" i="11"/>
  <c r="M24" i="11"/>
  <c r="M25" i="11"/>
  <c r="M26" i="11"/>
  <c r="M27" i="11"/>
  <c r="M28" i="11"/>
  <c r="M29" i="11"/>
  <c r="M78" i="11"/>
  <c r="M79" i="11"/>
  <c r="M80" i="11"/>
  <c r="M12" i="11"/>
  <c r="S12" i="1"/>
  <c r="S13" i="1"/>
  <c r="S14" i="1"/>
  <c r="S15" i="1"/>
  <c r="S16" i="1"/>
  <c r="S17" i="1"/>
  <c r="S18" i="1"/>
  <c r="S19" i="1"/>
  <c r="S20" i="1"/>
  <c r="S21" i="1"/>
  <c r="S22" i="1"/>
  <c r="S23" i="1"/>
  <c r="S24" i="1"/>
  <c r="S25" i="1"/>
  <c r="S26" i="1"/>
  <c r="S27" i="1"/>
  <c r="S28" i="1"/>
  <c r="S29" i="1"/>
  <c r="S30" i="1"/>
  <c r="S31" i="1"/>
  <c r="S32" i="1"/>
  <c r="S33" i="1"/>
  <c r="S34" i="1"/>
  <c r="S35" i="1"/>
  <c r="S36" i="1"/>
  <c r="S37" i="1"/>
  <c r="S38" i="1"/>
  <c r="S39" i="1"/>
  <c r="S40" i="1"/>
  <c r="S41" i="1"/>
  <c r="S42" i="1"/>
  <c r="S43" i="1"/>
  <c r="S44" i="1"/>
  <c r="S11" i="1"/>
  <c r="T13" i="9"/>
  <c r="T14" i="9"/>
  <c r="T15" i="9"/>
  <c r="T16" i="9"/>
  <c r="T17" i="9"/>
  <c r="T18" i="9"/>
  <c r="T19" i="9"/>
  <c r="T20" i="9"/>
  <c r="T21" i="9"/>
  <c r="T22" i="9"/>
  <c r="T23" i="9"/>
  <c r="T24" i="9"/>
  <c r="T25" i="9"/>
  <c r="T26" i="9"/>
  <c r="T27" i="9"/>
  <c r="T28" i="9"/>
  <c r="T29" i="9"/>
  <c r="T30" i="9"/>
  <c r="T31" i="9"/>
  <c r="T12" i="9"/>
  <c r="R13" i="9"/>
  <c r="R14" i="9"/>
  <c r="R15" i="9"/>
  <c r="R16" i="9"/>
  <c r="R17" i="9"/>
  <c r="R18" i="9"/>
  <c r="R19" i="9"/>
  <c r="R20" i="9"/>
  <c r="R21" i="9"/>
  <c r="R22" i="9"/>
  <c r="R23" i="9"/>
  <c r="R24" i="9"/>
  <c r="R25" i="9"/>
  <c r="R26" i="9"/>
  <c r="R27" i="9"/>
  <c r="R28" i="9"/>
  <c r="R29" i="9"/>
  <c r="R30" i="9"/>
  <c r="R31" i="9"/>
  <c r="R12" i="9"/>
  <c r="P13" i="9"/>
  <c r="P14" i="9"/>
  <c r="P15" i="9"/>
  <c r="P16" i="9"/>
  <c r="P17" i="9"/>
  <c r="P18" i="9"/>
  <c r="P19" i="9"/>
  <c r="P20" i="9"/>
  <c r="P21" i="9"/>
  <c r="P22" i="9"/>
  <c r="P23" i="9"/>
  <c r="P24" i="9"/>
  <c r="P25" i="9"/>
  <c r="P26" i="9"/>
  <c r="P27" i="9"/>
  <c r="P28" i="9"/>
  <c r="P29" i="9"/>
  <c r="P30" i="9"/>
  <c r="P31" i="9"/>
  <c r="P12" i="9"/>
  <c r="O13" i="9"/>
  <c r="O14" i="9"/>
  <c r="O15" i="9"/>
  <c r="O16" i="9"/>
  <c r="O17" i="9"/>
  <c r="O18" i="9"/>
  <c r="O19" i="9"/>
  <c r="O20" i="9"/>
  <c r="O21" i="9"/>
  <c r="O22" i="9"/>
  <c r="O23" i="9"/>
  <c r="O24" i="9"/>
  <c r="O25" i="9"/>
  <c r="O26" i="9"/>
  <c r="O27" i="9"/>
  <c r="O28" i="9"/>
  <c r="O29" i="9"/>
  <c r="O30" i="9"/>
  <c r="O31" i="9"/>
  <c r="O12" i="9"/>
  <c r="AE17" i="9"/>
  <c r="N14" i="9"/>
  <c r="N15" i="9"/>
  <c r="N16" i="9"/>
  <c r="N17" i="9"/>
  <c r="N18" i="9"/>
  <c r="N19" i="9"/>
  <c r="N20" i="9"/>
  <c r="N21" i="9"/>
  <c r="N22" i="9"/>
  <c r="N23" i="9"/>
  <c r="N24" i="9"/>
  <c r="N25" i="9"/>
  <c r="N26" i="9"/>
  <c r="N27" i="9"/>
  <c r="N28" i="9"/>
  <c r="N29" i="9"/>
  <c r="N30" i="9"/>
  <c r="N31" i="9"/>
  <c r="N12" i="9"/>
  <c r="N5" i="13"/>
  <c r="N7" i="13"/>
  <c r="N8" i="13"/>
  <c r="N6" i="13"/>
  <c r="D3" i="13"/>
  <c r="D4" i="13"/>
  <c r="O46" i="7"/>
  <c r="P47" i="7"/>
  <c r="P46" i="7"/>
  <c r="I11" i="6"/>
  <c r="J11" i="6"/>
  <c r="K11" i="6"/>
  <c r="L11" i="6"/>
  <c r="M11" i="6"/>
  <c r="I12" i="6"/>
  <c r="J12" i="6"/>
  <c r="K12" i="6"/>
  <c r="L12" i="6"/>
  <c r="M12" i="6"/>
  <c r="I13" i="6"/>
  <c r="J13" i="6"/>
  <c r="K13" i="6"/>
  <c r="L13" i="6"/>
  <c r="M13" i="6"/>
  <c r="I14" i="6"/>
  <c r="J14" i="6"/>
  <c r="K14" i="6"/>
  <c r="L14" i="6"/>
  <c r="M14" i="6"/>
  <c r="I15" i="6"/>
  <c r="J15" i="6"/>
  <c r="K15" i="6"/>
  <c r="L15" i="6"/>
  <c r="M15" i="6"/>
  <c r="I16" i="6"/>
  <c r="J16" i="6"/>
  <c r="K16" i="6"/>
  <c r="L16" i="6"/>
  <c r="M16" i="6"/>
  <c r="I17" i="6"/>
  <c r="J17" i="6"/>
  <c r="K17" i="6"/>
  <c r="L17" i="6"/>
  <c r="M17" i="6"/>
  <c r="I18" i="6"/>
  <c r="J18" i="6"/>
  <c r="K18" i="6"/>
  <c r="L18" i="6"/>
  <c r="M18" i="6"/>
  <c r="I19" i="6"/>
  <c r="J19" i="6"/>
  <c r="K19" i="6"/>
  <c r="L19" i="6"/>
  <c r="M19" i="6"/>
  <c r="I20" i="6"/>
  <c r="J20" i="6"/>
  <c r="K20" i="6"/>
  <c r="L20" i="6"/>
  <c r="M20" i="6"/>
  <c r="I21" i="6"/>
  <c r="J21" i="6"/>
  <c r="K21" i="6"/>
  <c r="L21" i="6"/>
  <c r="M21" i="6"/>
  <c r="I22" i="6"/>
  <c r="J22" i="6"/>
  <c r="K22" i="6"/>
  <c r="L22" i="6"/>
  <c r="M22" i="6"/>
  <c r="I23" i="6"/>
  <c r="J23" i="6"/>
  <c r="K23" i="6"/>
  <c r="L23" i="6"/>
  <c r="M23" i="6"/>
  <c r="I24" i="6"/>
  <c r="J24" i="6"/>
  <c r="K24" i="6"/>
  <c r="L24" i="6"/>
  <c r="M24" i="6"/>
  <c r="I25" i="6"/>
  <c r="J25" i="6"/>
  <c r="K25" i="6"/>
  <c r="L25" i="6"/>
  <c r="M25" i="6"/>
  <c r="I26" i="6"/>
  <c r="J26" i="6"/>
  <c r="K26" i="6"/>
  <c r="L26" i="6"/>
  <c r="M26" i="6"/>
  <c r="I27" i="6"/>
  <c r="J27" i="6"/>
  <c r="K27" i="6"/>
  <c r="L27" i="6"/>
  <c r="M27" i="6"/>
  <c r="I28" i="6"/>
  <c r="J28" i="6"/>
  <c r="K28" i="6"/>
  <c r="L28" i="6"/>
  <c r="M28" i="6"/>
  <c r="I29" i="6"/>
  <c r="J29" i="6"/>
  <c r="K29" i="6"/>
  <c r="L29" i="6"/>
  <c r="M29" i="6"/>
  <c r="I30" i="6"/>
  <c r="J30" i="6"/>
  <c r="K30" i="6"/>
  <c r="L30" i="6"/>
  <c r="M30" i="6"/>
  <c r="L11" i="1"/>
  <c r="M11" i="1"/>
  <c r="N11" i="1"/>
  <c r="O11" i="1"/>
  <c r="R11" i="1"/>
  <c r="L12" i="1"/>
  <c r="M12" i="1"/>
  <c r="N12" i="1"/>
  <c r="O12" i="1"/>
  <c r="R12" i="1"/>
  <c r="L13" i="1"/>
  <c r="M13" i="1"/>
  <c r="N13" i="1"/>
  <c r="O13" i="1"/>
  <c r="R13" i="1"/>
  <c r="L14" i="1"/>
  <c r="M14" i="1"/>
  <c r="N14" i="1"/>
  <c r="O14" i="1"/>
  <c r="R14" i="1"/>
  <c r="L15" i="1"/>
  <c r="M15" i="1"/>
  <c r="N15" i="1"/>
  <c r="O15" i="1"/>
  <c r="R15" i="1"/>
  <c r="L16" i="1"/>
  <c r="M16" i="1"/>
  <c r="N16" i="1"/>
  <c r="O16" i="1"/>
  <c r="R16" i="1"/>
  <c r="L17" i="1"/>
  <c r="M17" i="1"/>
  <c r="N17" i="1"/>
  <c r="O17" i="1"/>
  <c r="R17" i="1"/>
  <c r="L18" i="1"/>
  <c r="M18" i="1"/>
  <c r="N18" i="1"/>
  <c r="O18" i="1"/>
  <c r="R18" i="1"/>
  <c r="L19" i="1"/>
  <c r="M19" i="1"/>
  <c r="N19" i="1"/>
  <c r="O19" i="1"/>
  <c r="R19" i="1"/>
  <c r="L20" i="1"/>
  <c r="M20" i="1"/>
  <c r="N20" i="1"/>
  <c r="O20" i="1"/>
  <c r="R20" i="1"/>
  <c r="L21" i="1"/>
  <c r="M21" i="1"/>
  <c r="N21" i="1"/>
  <c r="O21" i="1"/>
  <c r="R21" i="1"/>
  <c r="L22" i="1"/>
  <c r="M22" i="1"/>
  <c r="N22" i="1"/>
  <c r="O22" i="1"/>
  <c r="R22" i="1"/>
  <c r="L23" i="1"/>
  <c r="M23" i="1"/>
  <c r="N23" i="1"/>
  <c r="O23" i="1"/>
  <c r="R23" i="1"/>
  <c r="L24" i="1"/>
  <c r="M24" i="1"/>
  <c r="N24" i="1"/>
  <c r="O24" i="1"/>
  <c r="R24" i="1"/>
  <c r="L25" i="1"/>
  <c r="M25" i="1"/>
  <c r="N25" i="1"/>
  <c r="O25" i="1"/>
  <c r="R25" i="1"/>
  <c r="L26" i="1"/>
  <c r="M26" i="1"/>
  <c r="N26" i="1"/>
  <c r="O26" i="1"/>
  <c r="R26" i="1"/>
  <c r="L27" i="1"/>
  <c r="M27" i="1"/>
  <c r="N27" i="1"/>
  <c r="O27" i="1"/>
  <c r="R27" i="1"/>
  <c r="L28" i="1"/>
  <c r="M28" i="1"/>
  <c r="N28" i="1"/>
  <c r="O28" i="1"/>
  <c r="R28" i="1"/>
  <c r="L29" i="1"/>
  <c r="M29" i="1"/>
  <c r="N29" i="1"/>
  <c r="O29" i="1"/>
  <c r="R29" i="1"/>
  <c r="L30" i="1"/>
  <c r="M30" i="1"/>
  <c r="N30" i="1"/>
  <c r="O30" i="1"/>
  <c r="R30" i="1"/>
  <c r="L31" i="1"/>
  <c r="M31" i="1"/>
  <c r="N31" i="1"/>
  <c r="O31" i="1"/>
  <c r="R31" i="1"/>
  <c r="L32" i="1"/>
  <c r="M32" i="1"/>
  <c r="N32" i="1"/>
  <c r="O32" i="1"/>
  <c r="R32" i="1"/>
  <c r="L33" i="1"/>
  <c r="M33" i="1"/>
  <c r="N33" i="1"/>
  <c r="O33" i="1"/>
  <c r="R33" i="1"/>
  <c r="L34" i="1"/>
  <c r="M34" i="1"/>
  <c r="N34" i="1"/>
  <c r="O34" i="1"/>
  <c r="R34" i="1"/>
  <c r="L35" i="1"/>
  <c r="M35" i="1"/>
  <c r="N35" i="1"/>
  <c r="O35" i="1"/>
  <c r="R35" i="1"/>
  <c r="L36" i="1"/>
  <c r="M36" i="1"/>
  <c r="N36" i="1"/>
  <c r="O36" i="1"/>
  <c r="R36" i="1"/>
  <c r="L37" i="1"/>
  <c r="M37" i="1"/>
  <c r="N37" i="1"/>
  <c r="O37" i="1"/>
  <c r="R37" i="1"/>
  <c r="L38" i="1"/>
  <c r="M38" i="1"/>
  <c r="N38" i="1"/>
  <c r="O38" i="1"/>
  <c r="R38" i="1"/>
  <c r="L39" i="1"/>
  <c r="M39" i="1"/>
  <c r="N39" i="1"/>
  <c r="O39" i="1"/>
  <c r="R39" i="1"/>
  <c r="L40" i="1"/>
  <c r="M40" i="1"/>
  <c r="N40" i="1"/>
  <c r="O40" i="1"/>
  <c r="R40" i="1"/>
  <c r="L41" i="1"/>
  <c r="M41" i="1"/>
  <c r="N41" i="1"/>
  <c r="O41" i="1"/>
  <c r="R41" i="1"/>
  <c r="L42" i="1"/>
  <c r="M42" i="1"/>
  <c r="N42" i="1"/>
  <c r="O42" i="1"/>
  <c r="R42" i="1"/>
  <c r="H12" i="11"/>
  <c r="J12" i="11"/>
  <c r="O12" i="11"/>
  <c r="J13" i="11"/>
  <c r="H14" i="11"/>
  <c r="J14" i="11"/>
  <c r="H15" i="11"/>
  <c r="J15" i="11"/>
  <c r="H16" i="11"/>
  <c r="J16" i="11"/>
  <c r="H17" i="11"/>
  <c r="J17" i="11"/>
  <c r="H18" i="11"/>
  <c r="J18" i="11"/>
  <c r="H19" i="11"/>
  <c r="J19" i="11"/>
  <c r="H20" i="11"/>
  <c r="J20" i="11"/>
  <c r="H21" i="11"/>
  <c r="J21" i="11"/>
  <c r="H22" i="11"/>
  <c r="J22" i="11"/>
  <c r="H23" i="11"/>
  <c r="J23" i="11"/>
  <c r="H24" i="11"/>
  <c r="J24" i="11"/>
  <c r="H25" i="11"/>
  <c r="J25" i="11"/>
  <c r="H26" i="11"/>
  <c r="J26" i="11"/>
  <c r="H27" i="11"/>
  <c r="J27" i="11"/>
  <c r="H28" i="11"/>
  <c r="J28" i="11"/>
  <c r="H29" i="11"/>
  <c r="J29" i="11"/>
  <c r="H78" i="11"/>
  <c r="J78" i="11"/>
  <c r="H79" i="11"/>
  <c r="J79" i="11"/>
  <c r="H80" i="11"/>
  <c r="J80" i="11"/>
  <c r="AE19" i="9"/>
  <c r="AE20" i="9"/>
  <c r="AE21" i="9"/>
  <c r="AE22" i="9"/>
  <c r="AE23" i="9"/>
  <c r="AE24" i="9"/>
  <c r="AE25" i="9"/>
  <c r="AE26" i="9"/>
  <c r="AE27" i="9"/>
  <c r="AE28" i="9"/>
  <c r="AE29" i="9"/>
  <c r="AE30" i="9"/>
  <c r="AE31" i="9"/>
  <c r="V19" i="13"/>
  <c r="V23" i="13"/>
  <c r="W23" i="13"/>
  <c r="V17" i="13"/>
  <c r="V18" i="13"/>
  <c r="Q12" i="9"/>
  <c r="S12" i="9"/>
  <c r="Q29" i="9"/>
  <c r="S29" i="9"/>
  <c r="Q31" i="9"/>
  <c r="S31" i="9"/>
  <c r="Q13" i="9"/>
  <c r="S13" i="9"/>
  <c r="AF14" i="9"/>
  <c r="AF15" i="9"/>
  <c r="AF16" i="9"/>
  <c r="AF17" i="9"/>
  <c r="AF18" i="9"/>
  <c r="AF19" i="9"/>
  <c r="AF20" i="9"/>
  <c r="AF21" i="9"/>
  <c r="AF22" i="9"/>
  <c r="AF23" i="9"/>
  <c r="AF24" i="9"/>
  <c r="AF25" i="9"/>
  <c r="AF26" i="9"/>
  <c r="AF27" i="9"/>
  <c r="AF28" i="9"/>
  <c r="AF29" i="9"/>
  <c r="Q30" i="9"/>
  <c r="S30" i="9"/>
  <c r="AF30" i="9"/>
  <c r="AF31" i="9"/>
  <c r="V12" i="13"/>
  <c r="V13" i="13"/>
  <c r="V14" i="13"/>
  <c r="V15" i="13"/>
  <c r="V16" i="13"/>
  <c r="V20" i="13"/>
  <c r="V21" i="13"/>
  <c r="V22" i="13"/>
  <c r="K12" i="10"/>
  <c r="L12" i="10"/>
  <c r="N12" i="10"/>
  <c r="O12" i="10"/>
  <c r="P12" i="10"/>
  <c r="K13" i="10"/>
  <c r="L13" i="10"/>
  <c r="N13" i="10"/>
  <c r="O13" i="10"/>
  <c r="P13" i="10"/>
  <c r="K14" i="10"/>
  <c r="L14" i="10"/>
  <c r="N14" i="10"/>
  <c r="O14" i="10"/>
  <c r="P14" i="10"/>
  <c r="K15" i="10"/>
  <c r="L15" i="10"/>
  <c r="N15" i="10"/>
  <c r="O15" i="10"/>
  <c r="P15" i="10"/>
  <c r="K16" i="10"/>
  <c r="L16" i="10"/>
  <c r="N16" i="10"/>
  <c r="O16" i="10"/>
  <c r="P16" i="10"/>
  <c r="K17" i="10"/>
  <c r="L17" i="10"/>
  <c r="N17" i="10"/>
  <c r="O17" i="10"/>
  <c r="P17" i="10"/>
  <c r="D5" i="16"/>
  <c r="E5" i="16"/>
  <c r="F5" i="16"/>
  <c r="D6" i="16"/>
  <c r="E6" i="16"/>
  <c r="F6" i="16"/>
  <c r="D7" i="16"/>
  <c r="E7" i="16"/>
  <c r="F7" i="16"/>
  <c r="D4" i="16"/>
  <c r="F4" i="16"/>
  <c r="E4" i="16"/>
  <c r="S14" i="9"/>
  <c r="S15" i="9"/>
  <c r="S16" i="9"/>
  <c r="S17" i="9"/>
  <c r="S18" i="9"/>
  <c r="S19" i="9"/>
  <c r="S20" i="9"/>
  <c r="S21" i="9"/>
  <c r="S22" i="9"/>
  <c r="S23" i="9"/>
  <c r="S24" i="9"/>
  <c r="S25" i="9"/>
  <c r="S26" i="9"/>
  <c r="S27" i="9"/>
  <c r="S28" i="9"/>
  <c r="F13" i="16"/>
  <c r="F14" i="16"/>
  <c r="F12" i="16"/>
  <c r="F15" i="16"/>
  <c r="F16" i="16"/>
  <c r="F17" i="16"/>
  <c r="F18" i="16"/>
  <c r="F19" i="16"/>
  <c r="F20" i="16"/>
  <c r="F21" i="16"/>
  <c r="F22" i="16"/>
  <c r="F23" i="16"/>
  <c r="F24" i="16"/>
  <c r="F25" i="16"/>
  <c r="F26" i="16"/>
  <c r="F27" i="16"/>
  <c r="F28" i="16"/>
  <c r="F29" i="16"/>
  <c r="F30" i="16"/>
  <c r="F31" i="16"/>
  <c r="F32" i="16"/>
  <c r="D9" i="13"/>
  <c r="D8" i="13"/>
  <c r="D6" i="13"/>
  <c r="D5" i="13"/>
  <c r="G53" i="7"/>
  <c r="H53" i="7" s="1"/>
  <c r="Q14" i="9"/>
  <c r="M43" i="1"/>
  <c r="M44" i="1"/>
  <c r="AD13" i="9"/>
  <c r="AD12" i="9"/>
  <c r="Q15" i="9"/>
  <c r="Q16" i="9"/>
  <c r="Q17" i="9"/>
  <c r="Q18" i="9"/>
  <c r="Q19" i="9"/>
  <c r="Q20" i="9"/>
  <c r="Q21" i="9"/>
  <c r="Q22" i="9"/>
  <c r="Q23" i="9"/>
  <c r="Q24" i="9"/>
  <c r="Q25" i="9"/>
  <c r="Q26" i="9"/>
  <c r="Q27" i="9"/>
  <c r="Q28" i="9"/>
  <c r="R43" i="1"/>
  <c r="R44" i="1"/>
  <c r="O43" i="1"/>
  <c r="O44" i="1"/>
  <c r="N43" i="1"/>
  <c r="N44" i="1"/>
  <c r="L43" i="1"/>
  <c r="L44" i="1"/>
  <c r="O45" i="7"/>
  <c r="E3" i="13"/>
  <c r="E4" i="13"/>
  <c r="E5" i="13"/>
  <c r="O5" i="13"/>
  <c r="W5" i="13"/>
  <c r="E6" i="13"/>
  <c r="O6" i="13"/>
  <c r="E7" i="13"/>
  <c r="O7" i="13"/>
  <c r="E8" i="13"/>
  <c r="O8" i="13"/>
  <c r="E9" i="13"/>
  <c r="W9" i="13"/>
  <c r="W10" i="13"/>
  <c r="W12" i="13"/>
  <c r="W13" i="13"/>
  <c r="W14" i="13"/>
  <c r="W15" i="13"/>
  <c r="W16" i="13"/>
  <c r="W17" i="13"/>
  <c r="W18" i="13"/>
  <c r="W19" i="13"/>
  <c r="W20" i="13"/>
  <c r="W21" i="13"/>
  <c r="W22" i="13"/>
  <c r="G4" i="8"/>
  <c r="G5" i="8"/>
  <c r="G6" i="8"/>
  <c r="F4" i="10"/>
  <c r="F5" i="10"/>
  <c r="F6" i="10"/>
  <c r="F7" i="10"/>
  <c r="E4" i="11"/>
  <c r="E5" i="11"/>
  <c r="E6" i="11"/>
  <c r="E7" i="11"/>
  <c r="F4" i="9"/>
  <c r="F5" i="9"/>
  <c r="F6" i="9"/>
  <c r="F7" i="9"/>
  <c r="F4" i="1"/>
  <c r="F5" i="1"/>
  <c r="F6" i="1"/>
  <c r="F7" i="1"/>
  <c r="R31" i="7"/>
  <c r="S31" i="7"/>
  <c r="S34" i="7"/>
  <c r="W38" i="7"/>
  <c r="W40" i="7"/>
  <c r="X40" i="7"/>
  <c r="W41" i="7"/>
  <c r="AE18" i="9"/>
  <c r="AE16" i="9"/>
  <c r="AJ26" i="8"/>
  <c r="AJ37" i="8"/>
  <c r="AJ36" i="8"/>
  <c r="AJ35" i="8"/>
  <c r="AJ27" i="8"/>
  <c r="AJ23" i="8"/>
  <c r="AJ31" i="8"/>
  <c r="AJ25" i="8"/>
  <c r="AJ33" i="8"/>
  <c r="AJ30" i="8"/>
  <c r="AJ32" i="8"/>
  <c r="AJ29" i="8"/>
  <c r="AJ34" i="8"/>
  <c r="AJ12" i="8"/>
  <c r="AJ24" i="8"/>
  <c r="AJ38" i="8"/>
  <c r="AJ28" i="8"/>
  <c r="AD13" i="8"/>
  <c r="AD33" i="8"/>
  <c r="AD25" i="8"/>
  <c r="AD17" i="8"/>
  <c r="AD38" i="8"/>
  <c r="AD22" i="8"/>
  <c r="AD39" i="8"/>
  <c r="AD12" i="8"/>
  <c r="AD14" i="8"/>
  <c r="AJ14" i="8" s="1"/>
  <c r="AD40" i="8"/>
  <c r="AD31" i="8"/>
  <c r="AD23" i="8"/>
  <c r="AD36" i="8"/>
  <c r="AD24" i="8"/>
  <c r="AD16" i="8"/>
  <c r="AD18" i="8"/>
  <c r="AD28" i="8"/>
  <c r="AD20" i="8"/>
  <c r="AD35" i="8"/>
  <c r="AD26" i="8"/>
  <c r="AD21" i="8"/>
  <c r="AJ21" i="8" s="1"/>
  <c r="AI12" i="8"/>
  <c r="AD44" i="8"/>
  <c r="AD46" i="8"/>
  <c r="AD45" i="8"/>
  <c r="AD42" i="8"/>
  <c r="AD41" i="8"/>
  <c r="AD43" i="8"/>
  <c r="AD27" i="8"/>
  <c r="AD37" i="8"/>
  <c r="AD29" i="8"/>
  <c r="AD19" i="8"/>
  <c r="AD30" i="8"/>
  <c r="AD34" i="8"/>
  <c r="AD32" i="8"/>
  <c r="AD15" i="8"/>
  <c r="AI15" i="8" s="1"/>
  <c r="AK12" i="8"/>
  <c r="AN12" i="8"/>
  <c r="AB28" i="1" l="1"/>
  <c r="AB34" i="1"/>
  <c r="AB16" i="1"/>
  <c r="AB22" i="1"/>
  <c r="AB30" i="1"/>
  <c r="AB12" i="1"/>
  <c r="AB44" i="1"/>
  <c r="AB36" i="1"/>
  <c r="AB14" i="1"/>
  <c r="AB32" i="1"/>
  <c r="AB38" i="1"/>
  <c r="AB26" i="1"/>
  <c r="AB18" i="1"/>
  <c r="C81" i="11"/>
  <c r="C16" i="7" s="1"/>
  <c r="G43" i="7" s="1"/>
  <c r="H43" i="7" s="1"/>
  <c r="AI14" i="8"/>
  <c r="AK49" i="8"/>
  <c r="AB33" i="1"/>
  <c r="AB40" i="1"/>
  <c r="AB20" i="1"/>
  <c r="AJ17" i="8"/>
  <c r="AK46" i="8"/>
  <c r="AJ20" i="8"/>
  <c r="AM24" i="13"/>
  <c r="AJ19" i="8"/>
  <c r="AJ13" i="8"/>
  <c r="AJ16" i="8"/>
  <c r="AB42" i="1"/>
  <c r="AK45" i="8"/>
  <c r="AE15" i="9"/>
  <c r="AB24" i="1"/>
  <c r="AB17" i="1"/>
  <c r="AJ18" i="8"/>
  <c r="AJ15" i="8"/>
  <c r="AM33" i="13"/>
  <c r="O15" i="6"/>
  <c r="O31" i="6" s="1"/>
  <c r="D32" i="6" s="1"/>
  <c r="C22" i="7" s="1"/>
  <c r="N12" i="6"/>
  <c r="N13" i="6"/>
  <c r="N14" i="6"/>
  <c r="P5" i="13"/>
  <c r="Q31" i="7" s="1"/>
  <c r="N10" i="13"/>
  <c r="AC3" i="13"/>
  <c r="AC5" i="13" s="1"/>
  <c r="AA103" i="1"/>
  <c r="AA109" i="1" s="1"/>
  <c r="AB35" i="1"/>
  <c r="AB37" i="1"/>
  <c r="AB23" i="1"/>
  <c r="AB43" i="1"/>
  <c r="AB27" i="1"/>
  <c r="P7" i="13"/>
  <c r="N31" i="7" s="1"/>
  <c r="AB29" i="1"/>
  <c r="AB13" i="1"/>
  <c r="AB19" i="1"/>
  <c r="AB21" i="1"/>
  <c r="AB11" i="1"/>
  <c r="AB39" i="1"/>
  <c r="AB41" i="1"/>
  <c r="AB25" i="1"/>
  <c r="AB31" i="1"/>
  <c r="AB15" i="1"/>
  <c r="AM20" i="13"/>
  <c r="AK28" i="8"/>
  <c r="E10" i="18"/>
  <c r="G10" i="18" s="1"/>
  <c r="B28" i="7" s="1"/>
  <c r="AM21" i="13"/>
  <c r="AK19" i="8"/>
  <c r="AK39" i="8"/>
  <c r="AK31" i="8"/>
  <c r="AK23" i="8"/>
  <c r="AK15" i="8"/>
  <c r="C18" i="10"/>
  <c r="C15" i="7" s="1"/>
  <c r="N34" i="7" s="1"/>
  <c r="AM3" i="13"/>
  <c r="U12" i="8" s="1"/>
  <c r="P8" i="13"/>
  <c r="AE14" i="9"/>
  <c r="AF13" i="9"/>
  <c r="D46" i="9" s="1"/>
  <c r="C14" i="7" s="1"/>
  <c r="AE13" i="9"/>
  <c r="C102" i="1"/>
  <c r="C17" i="7" s="1"/>
  <c r="G47" i="7" s="1"/>
  <c r="H47" i="7" s="1"/>
  <c r="H27" i="13"/>
  <c r="AK51" i="8"/>
  <c r="AK36" i="8"/>
  <c r="AM26" i="13"/>
  <c r="AM18" i="13"/>
  <c r="AM10" i="13"/>
  <c r="AM28" i="13"/>
  <c r="AM12" i="13"/>
  <c r="AK33" i="8"/>
  <c r="AK17" i="8"/>
  <c r="AM35" i="13"/>
  <c r="AM27" i="13"/>
  <c r="AM19" i="13"/>
  <c r="AM11" i="13"/>
  <c r="P3" i="13"/>
  <c r="L31" i="7" s="1"/>
  <c r="V5" i="13"/>
  <c r="V10" i="13"/>
  <c r="O33" i="7" s="1"/>
  <c r="AK14" i="8"/>
  <c r="J20" i="13"/>
  <c r="AK20" i="8"/>
  <c r="AK55" i="8"/>
  <c r="AK38" i="8"/>
  <c r="AK22" i="8"/>
  <c r="AM37" i="13"/>
  <c r="AM29" i="13"/>
  <c r="AM31" i="13"/>
  <c r="AM23" i="13"/>
  <c r="AK56" i="8"/>
  <c r="AK48" i="8"/>
  <c r="AK54" i="8"/>
  <c r="H4" i="13"/>
  <c r="AM36" i="13"/>
  <c r="AK16" i="8"/>
  <c r="AM30" i="13"/>
  <c r="AM22" i="13"/>
  <c r="AM14" i="13"/>
  <c r="AM16" i="13"/>
  <c r="AM8" i="13"/>
  <c r="AK40" i="8"/>
  <c r="AK32" i="8"/>
  <c r="AK24" i="8"/>
  <c r="AK43" i="8"/>
  <c r="AK52" i="8"/>
  <c r="AK26" i="8"/>
  <c r="AK27" i="8"/>
  <c r="AM25" i="13"/>
  <c r="AM17" i="13"/>
  <c r="AI13" i="8"/>
  <c r="AK13" i="8"/>
  <c r="AK37" i="8"/>
  <c r="AK29" i="8"/>
  <c r="AK30" i="8"/>
  <c r="V3" i="13"/>
  <c r="D16" i="13"/>
  <c r="AM13" i="13"/>
  <c r="AM5" i="13"/>
  <c r="Q7" i="13"/>
  <c r="I3" i="13"/>
  <c r="I4" i="13"/>
  <c r="C33" i="16"/>
  <c r="Q4" i="13"/>
  <c r="AC18" i="13"/>
  <c r="W50" i="7" s="1"/>
  <c r="AM4" i="13"/>
  <c r="AM6" i="13"/>
  <c r="V7" i="13"/>
  <c r="AK34" i="8"/>
  <c r="AM15" i="13"/>
  <c r="AM7" i="13"/>
  <c r="AM9" i="13"/>
  <c r="AK18" i="8"/>
  <c r="N11" i="13"/>
  <c r="AK35" i="8"/>
  <c r="AM34" i="13"/>
  <c r="AK21" i="8"/>
  <c r="AM32" i="13"/>
  <c r="P4" i="13"/>
  <c r="H3" i="13"/>
  <c r="Q3" i="13"/>
  <c r="Q5" i="13"/>
  <c r="P6" i="13"/>
  <c r="Q8" i="13"/>
  <c r="Q6" i="13"/>
  <c r="P10" i="13" l="1"/>
  <c r="V31" i="7" s="1"/>
  <c r="AC9" i="13"/>
  <c r="D58" i="8"/>
  <c r="C19" i="7" s="1"/>
  <c r="AB103" i="1"/>
  <c r="AB109" i="1" s="1"/>
  <c r="N31" i="6"/>
  <c r="C32" i="6" s="1"/>
  <c r="C21" i="7" s="1"/>
  <c r="D18" i="13"/>
  <c r="C58" i="8"/>
  <c r="C18" i="7" s="1"/>
  <c r="L10" i="18"/>
  <c r="I10" i="18"/>
  <c r="V6" i="13"/>
  <c r="X5" i="13" s="1"/>
  <c r="N33" i="7" s="1"/>
  <c r="C46" i="9"/>
  <c r="D15" i="13" s="1"/>
  <c r="O34" i="7" l="1"/>
  <c r="P34" i="7" s="1"/>
  <c r="Q34" i="7"/>
  <c r="W46" i="7"/>
  <c r="V11" i="13"/>
  <c r="X10" i="13" s="1"/>
  <c r="O39" i="7"/>
  <c r="P39" i="7" s="1"/>
  <c r="D17" i="13"/>
  <c r="E58" i="8"/>
  <c r="AC7" i="13"/>
  <c r="C13" i="7"/>
  <c r="W45" i="7"/>
  <c r="X45" i="7" s="1"/>
  <c r="V8" i="13"/>
  <c r="W7" i="13" s="1"/>
  <c r="C20" i="7" l="1"/>
  <c r="C27" i="7" s="1"/>
  <c r="X50" i="7"/>
  <c r="O41" i="7"/>
  <c r="P41" i="7" s="1"/>
  <c r="G40" i="7"/>
  <c r="H40" i="7" s="1"/>
  <c r="L34" i="7"/>
  <c r="X7" i="13"/>
  <c r="Q33" i="7" s="1"/>
  <c r="X47" i="7"/>
  <c r="X46" i="7"/>
  <c r="O42" i="7"/>
  <c r="O47" i="7"/>
  <c r="O38" i="7"/>
  <c r="P38" i="7" s="1"/>
  <c r="O40" i="7"/>
  <c r="P42" i="7" s="1"/>
  <c r="V4" i="13"/>
  <c r="X3" i="13" s="1"/>
  <c r="L33" i="7" s="1"/>
  <c r="G39" i="7"/>
  <c r="H39" i="7" s="1"/>
  <c r="H29" i="13"/>
  <c r="G38" i="7" s="1"/>
  <c r="H38" i="7" s="1"/>
  <c r="P40" i="7" l="1"/>
  <c r="V33" i="7"/>
  <c r="V34" i="7" s="1"/>
  <c r="W3" i="13"/>
  <c r="O10" i="13"/>
  <c r="O11"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<sst xmlns="http://schemas.openxmlformats.org/spreadsheetml/2006/main" count="1296" uniqueCount="883">
  <si>
    <t>Novice</t>
  </si>
  <si>
    <t>Open</t>
  </si>
  <si>
    <t>Advanced</t>
  </si>
  <si>
    <t>Masters</t>
  </si>
  <si>
    <t>1st</t>
  </si>
  <si>
    <t>2nd</t>
  </si>
  <si>
    <t>3rd</t>
  </si>
  <si>
    <t>4th</t>
  </si>
  <si>
    <t>Double Q</t>
  </si>
  <si>
    <t>MACH</t>
  </si>
  <si>
    <t>Date</t>
  </si>
  <si>
    <t>Class</t>
  </si>
  <si>
    <t>Placement</t>
  </si>
  <si>
    <t>Leg Points</t>
  </si>
  <si>
    <t>Level</t>
  </si>
  <si>
    <t>Std</t>
  </si>
  <si>
    <t>JWW</t>
  </si>
  <si>
    <t>Double Q Points</t>
  </si>
  <si>
    <t>Agility Point Schedule</t>
  </si>
  <si>
    <t>Conformation Point System</t>
  </si>
  <si>
    <t>Best in Show</t>
  </si>
  <si>
    <t>Group I</t>
  </si>
  <si>
    <t>Group II</t>
  </si>
  <si>
    <t>Group III</t>
  </si>
  <si>
    <t>Group IV</t>
  </si>
  <si>
    <t>Best of Breed</t>
  </si>
  <si>
    <t>Best of Opposite</t>
  </si>
  <si>
    <t>Winners Dog/Bitch</t>
  </si>
  <si>
    <t>Best of Winners</t>
  </si>
  <si>
    <t>Major Reserve</t>
  </si>
  <si>
    <t>Specialty Class Win</t>
  </si>
  <si>
    <t>Nat'l Specialty Class Win</t>
  </si>
  <si>
    <t>Nat'l Specialty Best of Breed</t>
  </si>
  <si>
    <t>Nat'l Specialty Best of Opposite</t>
  </si>
  <si>
    <t>Nat'l Specialty Winners Dog/Bitch</t>
  </si>
  <si>
    <t>1-2 Point Show</t>
  </si>
  <si>
    <t>3-5 Point Shows</t>
  </si>
  <si>
    <t>Obedience Point Schedule</t>
  </si>
  <si>
    <t>Utility</t>
  </si>
  <si>
    <t>Scores 195+</t>
  </si>
  <si>
    <t>UDX Legs</t>
  </si>
  <si>
    <t>HIT</t>
  </si>
  <si>
    <t>HC</t>
  </si>
  <si>
    <t>OTCH</t>
  </si>
  <si>
    <t>Continued Career Points: Additional legs per above (unlimited)</t>
  </si>
  <si>
    <t>Rally Point Schedule</t>
  </si>
  <si>
    <t>Excellent</t>
  </si>
  <si>
    <t>Derby</t>
  </si>
  <si>
    <t>Amateur</t>
  </si>
  <si>
    <t>Qualifying</t>
  </si>
  <si>
    <t>JAM</t>
  </si>
  <si>
    <t>Junior</t>
  </si>
  <si>
    <t>Senior</t>
  </si>
  <si>
    <t>Master</t>
  </si>
  <si>
    <t>Leg Points Limits per year</t>
  </si>
  <si>
    <t>No Limit</t>
  </si>
  <si>
    <t>Field Awards Point Schedule</t>
  </si>
  <si>
    <t>Tracking Point System</t>
  </si>
  <si>
    <t>Tracking Certification</t>
  </si>
  <si>
    <t>Tracking Dog Title (TD)</t>
  </si>
  <si>
    <t>Variable Surface Tracking Dog (VST)</t>
  </si>
  <si>
    <t>Tracking Dog Excellent Title (TDX)</t>
  </si>
  <si>
    <t>Bonus Points - CT Title</t>
  </si>
  <si>
    <t>JH</t>
  </si>
  <si>
    <t>WCX</t>
  </si>
  <si>
    <t>WC</t>
  </si>
  <si>
    <t>Call Name</t>
  </si>
  <si>
    <t>Points for Events Competed</t>
  </si>
  <si>
    <t>Obedience</t>
  </si>
  <si>
    <t>Tracking</t>
  </si>
  <si>
    <t>Rally</t>
  </si>
  <si>
    <t>Agility</t>
  </si>
  <si>
    <t>Conformation</t>
  </si>
  <si>
    <t>Field</t>
  </si>
  <si>
    <t>Total Club Points</t>
  </si>
  <si>
    <t>Bekins Missouri Traveller Challenge Award</t>
  </si>
  <si>
    <t>Sun Dance's Raggedy Ann, CDX Challenge Trophy</t>
  </si>
  <si>
    <t>Combo Awards</t>
  </si>
  <si>
    <t>WRGRC Three Way Award Qualified (Multi Years)</t>
  </si>
  <si>
    <t>Requirements</t>
  </si>
  <si>
    <t>Club Single Event Awards</t>
  </si>
  <si>
    <t>Therapy</t>
  </si>
  <si>
    <t>Open Placement Points</t>
  </si>
  <si>
    <t>Field Trial Class</t>
  </si>
  <si>
    <t>Field Trial Placement</t>
  </si>
  <si>
    <t>Hunt Test Leg Points or WC/WCX</t>
  </si>
  <si>
    <t>Class Placement</t>
  </si>
  <si>
    <t>Winners</t>
  </si>
  <si>
    <t>BOW</t>
  </si>
  <si>
    <t>BOB</t>
  </si>
  <si>
    <t>Group Placement</t>
  </si>
  <si>
    <t>BOW Points</t>
  </si>
  <si>
    <t>Group Points</t>
  </si>
  <si>
    <t>BIS Points</t>
  </si>
  <si>
    <t>Major/Minor Show</t>
  </si>
  <si>
    <t>WD</t>
  </si>
  <si>
    <t>Minor</t>
  </si>
  <si>
    <t>BIS</t>
  </si>
  <si>
    <t>Totals</t>
  </si>
  <si>
    <t>Specialty Points</t>
  </si>
  <si>
    <t>Sex</t>
  </si>
  <si>
    <t>Prior Years Titles Earned</t>
  </si>
  <si>
    <t>Class Win</t>
  </si>
  <si>
    <t>WD/WB Win</t>
  </si>
  <si>
    <t>BOS</t>
  </si>
  <si>
    <t>Place</t>
  </si>
  <si>
    <t>UDX Leg</t>
  </si>
  <si>
    <t>Leg</t>
  </si>
  <si>
    <t>Leg Pts</t>
  </si>
  <si>
    <t>OTCH Title</t>
  </si>
  <si>
    <t>Non-AKC</t>
  </si>
  <si>
    <t>Titles Earned This Year</t>
  </si>
  <si>
    <t>Bitch</t>
  </si>
  <si>
    <t>OTCH Driftwood's Photo Finish Trophy</t>
  </si>
  <si>
    <t>Top Novice A Award</t>
  </si>
  <si>
    <t>Top Agility Dog</t>
  </si>
  <si>
    <t>Amberglo Kennels Overall Conformation Trophy</t>
  </si>
  <si>
    <t>Tempo Golden Amateur Trophy</t>
  </si>
  <si>
    <t>Top Winning Bitch of the Year Award</t>
  </si>
  <si>
    <t>Derby Dog of the Year</t>
  </si>
  <si>
    <t>Community Service</t>
  </si>
  <si>
    <t>Therapy Hours Completed</t>
  </si>
  <si>
    <t>Junior Showmanship</t>
  </si>
  <si>
    <t>Top Junior Handler</t>
  </si>
  <si>
    <t>Novice Class Place Pts</t>
  </si>
  <si>
    <t>Open Class Place Pts</t>
  </si>
  <si>
    <t>Utility Class Place Pts</t>
  </si>
  <si>
    <t>Obedience Totals</t>
  </si>
  <si>
    <t>Advanced Class Place Pts</t>
  </si>
  <si>
    <t>Excellent Class Place Pts</t>
  </si>
  <si>
    <t>Rally Totals</t>
  </si>
  <si>
    <t>Agility Totals</t>
  </si>
  <si>
    <t>Field Totals</t>
  </si>
  <si>
    <t>Tracking Totals</t>
  </si>
  <si>
    <t>TD Title</t>
  </si>
  <si>
    <t>TDX Title</t>
  </si>
  <si>
    <t>VST Title</t>
  </si>
  <si>
    <t>CT Title</t>
  </si>
  <si>
    <t>Tracking Certification Points</t>
  </si>
  <si>
    <t>TD Title Points</t>
  </si>
  <si>
    <t>TDX Title Points</t>
  </si>
  <si>
    <t>VST Title Points</t>
  </si>
  <si>
    <t>CT Title Points</t>
  </si>
  <si>
    <t>Qualifies</t>
  </si>
  <si>
    <t>Dog is under 2 Years of Age and Eligible for Derby Dog of Year (Enter Yes or No)</t>
  </si>
  <si>
    <t>RN</t>
  </si>
  <si>
    <t>TD</t>
  </si>
  <si>
    <t>CERTIFY</t>
  </si>
  <si>
    <t>TDX</t>
  </si>
  <si>
    <t>VST</t>
  </si>
  <si>
    <t>CT</t>
  </si>
  <si>
    <t>Yes</t>
  </si>
  <si>
    <t>NAP</t>
  </si>
  <si>
    <t>NJP</t>
  </si>
  <si>
    <t>OAP</t>
  </si>
  <si>
    <t>OJP</t>
  </si>
  <si>
    <t>VCD1</t>
  </si>
  <si>
    <t>SHR</t>
  </si>
  <si>
    <t>No</t>
  </si>
  <si>
    <t>CDX</t>
  </si>
  <si>
    <t>CD</t>
  </si>
  <si>
    <t>UD</t>
  </si>
  <si>
    <t>UDX</t>
  </si>
  <si>
    <t>Novice Placement Points</t>
  </si>
  <si>
    <t>Excellent A Placement Points</t>
  </si>
  <si>
    <t>Enter as 1st, 2nd, 3rd, or 4th</t>
  </si>
  <si>
    <t>Enter as Major or Minor</t>
  </si>
  <si>
    <t>RA</t>
  </si>
  <si>
    <t>RE</t>
  </si>
  <si>
    <t>RAE</t>
  </si>
  <si>
    <t>CH</t>
  </si>
  <si>
    <t>SH</t>
  </si>
  <si>
    <t>MH</t>
  </si>
  <si>
    <t>VCD2</t>
  </si>
  <si>
    <t>VCD3</t>
  </si>
  <si>
    <t>VCD4</t>
  </si>
  <si>
    <t>VCCH</t>
  </si>
  <si>
    <t>NA</t>
  </si>
  <si>
    <t>OA</t>
  </si>
  <si>
    <t>AX</t>
  </si>
  <si>
    <t>MX</t>
  </si>
  <si>
    <t>AXP</t>
  </si>
  <si>
    <t>MXP</t>
  </si>
  <si>
    <t>NAJ</t>
  </si>
  <si>
    <t>OAJ</t>
  </si>
  <si>
    <t>AXJ</t>
  </si>
  <si>
    <t>MXJ</t>
  </si>
  <si>
    <t>AJP</t>
  </si>
  <si>
    <t>MJP</t>
  </si>
  <si>
    <t>WB</t>
  </si>
  <si>
    <t>Obed. Amat.</t>
  </si>
  <si>
    <t>Obed. Pro</t>
  </si>
  <si>
    <t>Conf. Amat.</t>
  </si>
  <si>
    <t>Conf. Pro</t>
  </si>
  <si>
    <t>Is the Handler considered a Junior Handler?                                (Enter Yes or No)</t>
  </si>
  <si>
    <t>Pro Point Total</t>
  </si>
  <si>
    <t>Amateur Point Total</t>
  </si>
  <si>
    <t>Amateur (AM) or Pro Handler</t>
  </si>
  <si>
    <t>AM</t>
  </si>
  <si>
    <t>Pro</t>
  </si>
  <si>
    <t>Enter as Amateur (AM) or Pro</t>
  </si>
  <si>
    <t>Amateur Points</t>
  </si>
  <si>
    <t>Pro Points</t>
  </si>
  <si>
    <t>Std.</t>
  </si>
  <si>
    <t>Major</t>
  </si>
  <si>
    <t>Nat'l Spec</t>
  </si>
  <si>
    <t>Specialty</t>
  </si>
  <si>
    <t>Dog</t>
  </si>
  <si>
    <t>JH Leg</t>
  </si>
  <si>
    <t>SH Leg</t>
  </si>
  <si>
    <t>MH Leg</t>
  </si>
  <si>
    <t>Qualifing</t>
  </si>
  <si>
    <t>Has your dog earned more than 3 AKC Conformation points in previous years?</t>
  </si>
  <si>
    <t>Enter as Yes or No</t>
  </si>
  <si>
    <t>6 to 9</t>
  </si>
  <si>
    <t>9 to 12</t>
  </si>
  <si>
    <t>12 to 15</t>
  </si>
  <si>
    <t>15 to 18</t>
  </si>
  <si>
    <t>Am Bred</t>
  </si>
  <si>
    <t>BBE</t>
  </si>
  <si>
    <t>Specials</t>
  </si>
  <si>
    <t>VC</t>
  </si>
  <si>
    <t>VCX</t>
  </si>
  <si>
    <t>What to Check</t>
  </si>
  <si>
    <t># WD</t>
  </si>
  <si>
    <t># WB</t>
  </si>
  <si>
    <t># BOB</t>
  </si>
  <si>
    <t># BOS</t>
  </si>
  <si>
    <t>2 Req.</t>
  </si>
  <si>
    <t># Req</t>
  </si>
  <si>
    <t>Formula</t>
  </si>
  <si>
    <t>Test for Qualification Column</t>
  </si>
  <si>
    <t># Legs</t>
  </si>
  <si>
    <t>1 Req.</t>
  </si>
  <si>
    <t>Conf WD/WB Test</t>
  </si>
  <si>
    <t>Conf BOB/BOS Test</t>
  </si>
  <si>
    <t># WCX Prior Year</t>
  </si>
  <si>
    <t># WCX Current Year</t>
  </si>
  <si>
    <t># TDX Prior Year</t>
  </si>
  <si>
    <t># TDX Current Year</t>
  </si>
  <si>
    <t>Prior vs Current Test</t>
  </si>
  <si>
    <t>Obedience Prior Years</t>
  </si>
  <si>
    <t>Tracking Prior Years</t>
  </si>
  <si>
    <t>Tracking Current Year</t>
  </si>
  <si>
    <t>Obedience Current Year</t>
  </si>
  <si>
    <t>Field Prior Years</t>
  </si>
  <si>
    <t>Hunt Test Legs Prior Years</t>
  </si>
  <si>
    <t>Conformation Prior Years</t>
  </si>
  <si>
    <t>Conformation Current Year</t>
  </si>
  <si>
    <t>Field Current Year</t>
  </si>
  <si>
    <t>Prior CD</t>
  </si>
  <si>
    <t>Prior CDX</t>
  </si>
  <si>
    <t>Combo (VCD Awards)</t>
  </si>
  <si>
    <t>Enter Completed # of Therapy Hours or 0 This Year</t>
  </si>
  <si>
    <t>Masters Placement Points</t>
  </si>
  <si>
    <t>RWD</t>
  </si>
  <si>
    <t>Reserve</t>
  </si>
  <si>
    <t>Enter as Reserve</t>
  </si>
  <si>
    <t>RWD Points</t>
  </si>
  <si>
    <t>PAX</t>
  </si>
  <si>
    <t>AM &amp; Can CH Sun Dance's Vagabond Lover CDX Amateur Traveling Trophy for Obedience</t>
  </si>
  <si>
    <t>Goldrush's Feather Fetcher CD TDX - TDX Challenge Award</t>
  </si>
  <si>
    <t>CT Cabin Creek's Spring Promise CD WC - VST Challenge Award</t>
  </si>
  <si>
    <t>CT Cabin Creek's Spring Promise CD WC - Champion Tracker Honor Roll</t>
  </si>
  <si>
    <t>One Ash Coner O'Clonmacnoise CDX RAE AX AXJ Top Rally Award</t>
  </si>
  <si>
    <t>Field Points Tally Sheet</t>
  </si>
  <si>
    <t>Agility Points Tally Sheet</t>
  </si>
  <si>
    <t>Obedience Points Tally Sheet</t>
  </si>
  <si>
    <t>Rally Points Tally Sheet</t>
  </si>
  <si>
    <t>Tracking Points Tally Sheet</t>
  </si>
  <si>
    <t>Conformation Points Tally Sheet</t>
  </si>
  <si>
    <t>Test Club</t>
  </si>
  <si>
    <t>Show Club</t>
  </si>
  <si>
    <t>Finished MACH</t>
  </si>
  <si>
    <t>Enter Yes or No</t>
  </si>
  <si>
    <t>MACH Points</t>
  </si>
  <si>
    <t>Hunt Test Legs or WC/WCX</t>
  </si>
  <si>
    <t>Trial Club</t>
  </si>
  <si>
    <t>Winners Points WD/WB</t>
  </si>
  <si>
    <t>WRGRC Annual Awards Work Sheets</t>
  </si>
  <si>
    <t>Revision Control Page</t>
  </si>
  <si>
    <t>Change Letter</t>
  </si>
  <si>
    <t>Change Date</t>
  </si>
  <si>
    <t>Change Description</t>
  </si>
  <si>
    <t>Is the Handler considered an Amateur or Professional Handler?   (Enter AM or Pro)</t>
  </si>
  <si>
    <t>Enter Life Time Therapy Hours (Total hours this dog has completed since beginning therapy work.)</t>
  </si>
  <si>
    <t>Junior Showmanship Points Tally Sheet</t>
  </si>
  <si>
    <t>Placement Points</t>
  </si>
  <si>
    <t>Junior Showmanship Summary</t>
  </si>
  <si>
    <t>Conformation Totals</t>
  </si>
  <si>
    <t>Jr. Showmanship Classes</t>
  </si>
  <si>
    <t>Jr. Showmanship</t>
  </si>
  <si>
    <t>WRGRC 3 Way Award (Winner Must be Qualified and earn points in all 3 areas in the Same Year)</t>
  </si>
  <si>
    <t>Obedience or Tracking, Field, Conformation (&gt;=3 CH points)</t>
  </si>
  <si>
    <t>Obedience or Tracking, Field, Conformation</t>
  </si>
  <si>
    <t>Bekens Missouri Traveller UDT WCX "X-TRA Mile" Challenge Award</t>
  </si>
  <si>
    <t>Prior Years</t>
  </si>
  <si>
    <t>Current Years</t>
  </si>
  <si>
    <t>12 to 18</t>
  </si>
  <si>
    <t>List Registered Owners Names</t>
  </si>
  <si>
    <t>A</t>
  </si>
  <si>
    <t>Fixed Minor Bugs and Changed header dates</t>
  </si>
  <si>
    <t>Top Winning Dog of the Year Award (AM Handled)</t>
  </si>
  <si>
    <t>Therapy Dog of the Year Award (Min. 15 Hours)</t>
  </si>
  <si>
    <t>B</t>
  </si>
  <si>
    <t>Updated form to add new awards</t>
  </si>
  <si>
    <t>Vet 8-10</t>
  </si>
  <si>
    <t>Vet 10-12</t>
  </si>
  <si>
    <t>Vet 12+</t>
  </si>
  <si>
    <t>C</t>
  </si>
  <si>
    <t>GCH</t>
  </si>
  <si>
    <t>SD</t>
  </si>
  <si>
    <t>SB</t>
  </si>
  <si>
    <t>Select Dog or Bitch</t>
  </si>
  <si>
    <t>FAST</t>
  </si>
  <si>
    <t>NF</t>
  </si>
  <si>
    <t>NFP</t>
  </si>
  <si>
    <t>OF</t>
  </si>
  <si>
    <t>OFP</t>
  </si>
  <si>
    <t>XF</t>
  </si>
  <si>
    <t>XFP</t>
  </si>
  <si>
    <t>MXF</t>
  </si>
  <si>
    <t>MFP</t>
  </si>
  <si>
    <t>BN</t>
  </si>
  <si>
    <t>GN</t>
  </si>
  <si>
    <t>GO</t>
  </si>
  <si>
    <t>Beg. Nov.</t>
  </si>
  <si>
    <t>Grad Nov</t>
  </si>
  <si>
    <t>Grad Open</t>
  </si>
  <si>
    <t>Versatility</t>
  </si>
  <si>
    <t>Beginner Novice</t>
  </si>
  <si>
    <t>Beg. Novice Class Place Pts</t>
  </si>
  <si>
    <t>Grad. Novice Class Place Pts</t>
  </si>
  <si>
    <t>Grad. Open Class Place Pts</t>
  </si>
  <si>
    <t>Versatility Class Place Pts</t>
  </si>
  <si>
    <t>Ver</t>
  </si>
  <si>
    <t>Finished PAX</t>
  </si>
  <si>
    <t>PAX Points</t>
  </si>
  <si>
    <t>Rally Advanced Excellent Leg Points</t>
  </si>
  <si>
    <t>RAE Legs</t>
  </si>
  <si>
    <t>Updated form to add Grand Champion, SD, SB Points, Added New Obed titles, Agility Fast Classes, RAE Leg Pts</t>
  </si>
  <si>
    <t>Field of Dreams CD Leg Test</t>
  </si>
  <si>
    <t>Novice Test</t>
  </si>
  <si>
    <t>Open Test</t>
  </si>
  <si>
    <t>Utility Test</t>
  </si>
  <si>
    <t xml:space="preserve">Sum must be &gt;0 </t>
  </si>
  <si>
    <t>Best in Show or Best in Show Specialty</t>
  </si>
  <si>
    <t>Sporting Group 1</t>
  </si>
  <si>
    <t>BISS</t>
  </si>
  <si>
    <t>To save your dog’s information, click on the “file" menu and select the “save-as” option. Change the file name by substituting your dog’s call name for the word "individual" and then click on save. For example, the name for our document would be "WRGRC Zoe Work Sheet.xls". If you have more than one dog, you will want to create a separate file for each dog.</t>
  </si>
  <si>
    <t>If you are not comfortable filling out the electronic form, please contact the Awards committee and a hard/printed copy will be provided. However, if you choose to complete a handwritten copy, you must then calculate all the points for all the awards yourself based on the points system on the WRGRC website. The committee will not complete the forms or calculate points for you. The great thing about the electronic copy is it does all the calculating for you!</t>
  </si>
  <si>
    <t xml:space="preserve">Basic Sheet Information - At any time you can print this instructions page so you can reference it as you complete any of the sheets.
This computer document contains a number of “sheets” or pages for each area of competition where you can record wins, titles, etc. You can get to each sheet by clicking on the tabs along the bottom of the page labeled “instructions,” “summary,” “conformation,” etc. 
The colored or shaded areas/boxes contain hidden formulas that calculate points and contain other information. These areas are locked to prevent you from accidentally changing something. You will not be able to type information into these areas. 
You will need to type information or select information in un-shaded or white areas/boxes. If you put your curser on a white area/box and click it, a small arrow may appear on the right side of the area/box. If there is an arrow, you can select pre-entered information by clicking on that arrow. If there is not, you are free to type information directly into the area/box. If you see the small arrow next to an area/box, and you try to enter information in that box in the wrong format, you will receive an error message.
</t>
  </si>
  <si>
    <t>FTC</t>
  </si>
  <si>
    <t>FTCP</t>
  </si>
  <si>
    <t>Enter as BOW</t>
  </si>
  <si>
    <t>Enter as BOS</t>
  </si>
  <si>
    <t>Test for Amateur / Pro Status for Trophy's</t>
  </si>
  <si>
    <t>MACH / PACH Championship Points</t>
  </si>
  <si>
    <t>Std. Course Time</t>
  </si>
  <si>
    <t>Course Run Time</t>
  </si>
  <si>
    <t>Championship Points</t>
  </si>
  <si>
    <t>Placement Multipler Total Value</t>
  </si>
  <si>
    <t>Multipler Calculations</t>
  </si>
  <si>
    <t>Current Year Point Total</t>
  </si>
  <si>
    <t>Prior Year Point Total</t>
  </si>
  <si>
    <t>Cumulative Point Total</t>
  </si>
  <si>
    <t>To compute and total MACH and PACH speed points enter the std. course time and the Course Run time in the appropiate boxes. Only enter times for masters legs.</t>
  </si>
  <si>
    <t>D</t>
  </si>
  <si>
    <t>Nov. 7, 2011</t>
  </si>
  <si>
    <t>Top Winning CH Veteran Award</t>
  </si>
  <si>
    <t>Veteran Conformation</t>
  </si>
  <si>
    <t>Veteran Conformation Point System</t>
  </si>
  <si>
    <t>Specialty or National Specialty Wins</t>
  </si>
  <si>
    <t>Specialty Sweeps Wins</t>
  </si>
  <si>
    <t>National Specialty Sweeps Wins</t>
  </si>
  <si>
    <t>Specialty Class Wins</t>
  </si>
  <si>
    <t>National Specialty Class Wins</t>
  </si>
  <si>
    <t>Spec. Sweeps Class Win</t>
  </si>
  <si>
    <t>Natl. Spec. Sweeps Class Win</t>
  </si>
  <si>
    <t>Spec. Veteran Class Win</t>
  </si>
  <si>
    <t>Natl. Spec. Veteran Class Win</t>
  </si>
  <si>
    <t>Natl. Spec. BOB</t>
  </si>
  <si>
    <t>Natl. Spec.BOS</t>
  </si>
  <si>
    <t>Sweeps Class Enter as Yes or No</t>
  </si>
  <si>
    <t>Veteran</t>
  </si>
  <si>
    <t>Sweeps Wins for Veterans</t>
  </si>
  <si>
    <t>BISS Win</t>
  </si>
  <si>
    <t>BOSS Win</t>
  </si>
  <si>
    <t>Enter as BIS</t>
  </si>
  <si>
    <t>Best of Opposite Sex Sweeps</t>
  </si>
  <si>
    <t>Best in Sweeps</t>
  </si>
  <si>
    <t>Test Sum</t>
  </si>
  <si>
    <t>BOSS</t>
  </si>
  <si>
    <t>Champion/GCH Qualification for Veterans</t>
  </si>
  <si>
    <t>CH Test</t>
  </si>
  <si>
    <t>GCH Test</t>
  </si>
  <si>
    <t>Finished PACH</t>
  </si>
  <si>
    <t>PACH Points</t>
  </si>
  <si>
    <t>PACH</t>
  </si>
  <si>
    <t>Specialty Best of Sweeps</t>
  </si>
  <si>
    <t>Specialty Best of Opposite Sweeps</t>
  </si>
  <si>
    <t>Natl. Spec. Best of Sweeps</t>
  </si>
  <si>
    <t>Natl. Spec. Best of Opposite Sweeps</t>
  </si>
  <si>
    <t>Spec. Best of Breed</t>
  </si>
  <si>
    <t>Spec. Best of Opposite</t>
  </si>
  <si>
    <t>r</t>
  </si>
  <si>
    <t>s</t>
  </si>
  <si>
    <t>t</t>
  </si>
  <si>
    <t>u</t>
  </si>
  <si>
    <t>v</t>
  </si>
  <si>
    <t>w</t>
  </si>
  <si>
    <t>VER</t>
  </si>
  <si>
    <t>Added new award for Top Winning Champion Veteran, Added PACH Points, Fixed minor bugs in Obedience</t>
  </si>
  <si>
    <t>Non Regular Class Point Total</t>
  </si>
  <si>
    <t>Has your dog earned any legs for a JH, SH, or MH in previous year's?</t>
  </si>
  <si>
    <t>Is your dog 8 years old or will they be 8 on or before Dec. 31st?</t>
  </si>
  <si>
    <t>OM</t>
  </si>
  <si>
    <t>OGM</t>
  </si>
  <si>
    <t>NOC</t>
  </si>
  <si>
    <t>Specialty Enter as: Natl Spec, Spec or Non-Spec</t>
  </si>
  <si>
    <t>Non-Spec</t>
  </si>
  <si>
    <t>BOB Points All Shows</t>
  </si>
  <si>
    <t>BOS Points All Shows</t>
  </si>
  <si>
    <t>Select Dog or Bitch Points All Shows</t>
  </si>
  <si>
    <t>Test For Reg Vs. NonReg</t>
  </si>
  <si>
    <t>E</t>
  </si>
  <si>
    <t>Dec. 28, 2011</t>
  </si>
  <si>
    <t>Fixed Minor Bugs in conformation</t>
  </si>
  <si>
    <t>Winners Dog / Bitch Test</t>
  </si>
  <si>
    <t>Winners Dog</t>
  </si>
  <si>
    <t>Winners Bitch</t>
  </si>
  <si>
    <t>OTCH Driftwood's Photo Finish Trophy test for Min. CD Req.</t>
  </si>
  <si>
    <t>Test for 6 or more Obedience Points</t>
  </si>
  <si>
    <t>Once you have your dog’s worksheet saved, you can now start entering your dog’s wins. Click on the tab along the bottom that says Summary. Fill in the yellow spaces with all the information requested on the summary sheet. When you have completed filling out the summary sheet then go to each area's sheets in which you competed (conformation, field, rally, etc.) and complete the individual sheets and save the spreadsheet.</t>
  </si>
  <si>
    <t xml:space="preserve">When you are completing the white/yellow areas/boxes, you can either type in information or choose information from a pre-entered list. If you click on a white area/box and see a small arrow to the right of the box, click on the arrow to see pre-entered information for you to choose from. If you try to enter manually enter information or in the wrong format you will receive an error message. Simply click “retry” and then click on the arrow to select from the options. </t>
  </si>
  <si>
    <t>On the summary page, it is important to enter prior years’ title information in the top boxes labeled "Prior Years Titles Earned". These fields are used to verify eligibility for several of the annual awards. By entering information in the prior years boxes it keeps the committee from buying unnecessary crate tags. This also saves the committee from having to guess on who might be eligible for a particular award.</t>
  </si>
  <si>
    <t>F</t>
  </si>
  <si>
    <t>Fixed Minor Bugs</t>
  </si>
  <si>
    <t>G</t>
  </si>
  <si>
    <t>Updated to 2013/2014</t>
  </si>
  <si>
    <r>
      <t>WRGRC Amateur Field Trophy</t>
    </r>
    <r>
      <rPr>
        <b/>
        <sz val="11"/>
        <rFont val="Arial"/>
        <family val="2"/>
      </rPr>
      <t xml:space="preserve"> </t>
    </r>
    <r>
      <rPr>
        <b/>
        <sz val="10"/>
        <rFont val="Arial"/>
        <family val="2"/>
      </rPr>
      <t>(min 5 club pts)</t>
    </r>
  </si>
  <si>
    <t>Did your dog compete in Novice A this Year?</t>
  </si>
  <si>
    <t>Do you want the club to furnish Crate Tags?</t>
  </si>
  <si>
    <t>Available Points</t>
  </si>
  <si>
    <t>Sub-Totals</t>
  </si>
  <si>
    <t>Annual Show Chair</t>
  </si>
  <si>
    <t>Host a meeting</t>
  </si>
  <si>
    <t>WC/WCX</t>
  </si>
  <si>
    <t>Sweeps Judging</t>
  </si>
  <si>
    <t>Webmaster</t>
  </si>
  <si>
    <t>Meeting attendance Select All Attended</t>
  </si>
  <si>
    <t>January</t>
  </si>
  <si>
    <t>February</t>
  </si>
  <si>
    <t>March</t>
  </si>
  <si>
    <t>April</t>
  </si>
  <si>
    <t>May</t>
  </si>
  <si>
    <t>June</t>
  </si>
  <si>
    <t>July</t>
  </si>
  <si>
    <t>August</t>
  </si>
  <si>
    <t>September</t>
  </si>
  <si>
    <t>October</t>
  </si>
  <si>
    <t>November</t>
  </si>
  <si>
    <t>December</t>
  </si>
  <si>
    <t>Club Qualification Sheet Requirements</t>
  </si>
  <si>
    <t>Select by Answering Yes or Selecting Number of Hours Worked  (To all that apply) from the drop down button</t>
  </si>
  <si>
    <t>Constitution</t>
  </si>
  <si>
    <t>Historian</t>
  </si>
  <si>
    <t>Program</t>
  </si>
  <si>
    <t>Membership</t>
  </si>
  <si>
    <t>GRCA Delegate</t>
  </si>
  <si>
    <t>Pet Therapy</t>
  </si>
  <si>
    <t>Annual Awards</t>
  </si>
  <si>
    <t>Specialty Sub-committee Chairs</t>
  </si>
  <si>
    <t>Awards</t>
  </si>
  <si>
    <t>Raffle</t>
  </si>
  <si>
    <t>Guest Lecturer Presenter @ Meeting</t>
  </si>
  <si>
    <t>Nomination</t>
  </si>
  <si>
    <t>Minor Committee Chairs</t>
  </si>
  <si>
    <t>Puppy Referral</t>
  </si>
  <si>
    <t>Building &amp; Grounds</t>
  </si>
  <si>
    <t>Camping</t>
  </si>
  <si>
    <t>Hospitality</t>
  </si>
  <si>
    <t>GRNews Contributor</t>
  </si>
  <si>
    <t>Total Earned Points</t>
  </si>
  <si>
    <t>Extended Club Duties</t>
  </si>
  <si>
    <t>Club Officer</t>
  </si>
  <si>
    <t>Board Member</t>
  </si>
  <si>
    <t>Newsletter Editor</t>
  </si>
  <si>
    <t>Major Club Events</t>
  </si>
  <si>
    <t>Judge Selection</t>
  </si>
  <si>
    <t>Licensed Judging</t>
  </si>
  <si>
    <t>Secretary</t>
  </si>
  <si>
    <t>Match Judging</t>
  </si>
  <si>
    <t>Chairman</t>
  </si>
  <si>
    <t>Work Event (Gunner, Thrower, Etc)</t>
  </si>
  <si>
    <t>Work Event</t>
  </si>
  <si>
    <t>Standing Committee's &amp; Misc. Duties (Other Than Special Events)</t>
  </si>
  <si>
    <t>Meeting Support</t>
  </si>
  <si>
    <t>Club Trailer Storage, Delivery, &amp; Maintenance.</t>
  </si>
  <si>
    <t>Meetings</t>
  </si>
  <si>
    <t>Specialty Show Secretary</t>
  </si>
  <si>
    <t>Match Secretary</t>
  </si>
  <si>
    <t>Rent a Ring (OC Match)</t>
  </si>
  <si>
    <t>Chairs of Major committees</t>
  </si>
  <si>
    <t>Ad Hoc Committee Chair</t>
  </si>
  <si>
    <t>Ad Hoc Committee Member</t>
  </si>
  <si>
    <t>It is important to fill out the workers requirements page. With out this information then any awards that you have earned can not be presented to you. Special instructions and descriptions are found on the page.</t>
  </si>
  <si>
    <t>Match Chairman (Conformation B Match)</t>
  </si>
  <si>
    <t>Special Events (CCA, Etc., Fill out Brief Description in Space at right)</t>
  </si>
  <si>
    <t>Dog's Registered Name</t>
  </si>
  <si>
    <t>Dog's Registered Name With All Titles</t>
  </si>
  <si>
    <t>MXPB</t>
  </si>
  <si>
    <t>MXPS</t>
  </si>
  <si>
    <t>MJPB</t>
  </si>
  <si>
    <t>MJPS</t>
  </si>
  <si>
    <t>MXB</t>
  </si>
  <si>
    <t>MXS</t>
  </si>
  <si>
    <t>MXG</t>
  </si>
  <si>
    <t>MXC</t>
  </si>
  <si>
    <t>MXPG</t>
  </si>
  <si>
    <t>MXPC</t>
  </si>
  <si>
    <t>MJB</t>
  </si>
  <si>
    <t>MJG</t>
  </si>
  <si>
    <t>MJC</t>
  </si>
  <si>
    <t>MJPG</t>
  </si>
  <si>
    <t>MJPC</t>
  </si>
  <si>
    <t>MJS</t>
  </si>
  <si>
    <t>CGC</t>
  </si>
  <si>
    <t>CGCA</t>
  </si>
  <si>
    <t>JHA</t>
  </si>
  <si>
    <t>SHA</t>
  </si>
  <si>
    <t>MHA</t>
  </si>
  <si>
    <t>MFB</t>
  </si>
  <si>
    <t>MFG</t>
  </si>
  <si>
    <t>MFC</t>
  </si>
  <si>
    <t>MFPB</t>
  </si>
  <si>
    <t>MFPS</t>
  </si>
  <si>
    <t>MFPG</t>
  </si>
  <si>
    <t>MFPC</t>
  </si>
  <si>
    <t>MFS</t>
  </si>
  <si>
    <t>MNH</t>
  </si>
  <si>
    <t>PCD</t>
  </si>
  <si>
    <t>PCDX</t>
  </si>
  <si>
    <t>PUTD</t>
  </si>
  <si>
    <t>T2B</t>
  </si>
  <si>
    <t>T2BP</t>
  </si>
  <si>
    <t>TQX</t>
  </si>
  <si>
    <t>TQXP</t>
  </si>
  <si>
    <t>TDU</t>
  </si>
  <si>
    <t>FAST/T2B</t>
  </si>
  <si>
    <t>AFC</t>
  </si>
  <si>
    <t>DC</t>
  </si>
  <si>
    <t>FC</t>
  </si>
  <si>
    <t>GDSC</t>
  </si>
  <si>
    <t>NAC</t>
  </si>
  <si>
    <t>NAFC</t>
  </si>
  <si>
    <t>NAGDC</t>
  </si>
  <si>
    <t>NFC</t>
  </si>
  <si>
    <t>NGDC</t>
  </si>
  <si>
    <t>NOGDC</t>
  </si>
  <si>
    <t>PNAC</t>
  </si>
  <si>
    <t>RGDSC</t>
  </si>
  <si>
    <t>RNC</t>
  </si>
  <si>
    <t>TC</t>
  </si>
  <si>
    <t>Newsletter Contributor (1 pt per article printed)</t>
  </si>
  <si>
    <t>H</t>
  </si>
  <si>
    <t>Dec. 31, 2013</t>
  </si>
  <si>
    <t>Updated form to add workers credits, new AKC Titles, minor bugs.</t>
  </si>
  <si>
    <t>Committee Members (Equipment, workers, etc.)</t>
  </si>
  <si>
    <t>Work Event (Tracklayer, Driver,  Etc.)</t>
  </si>
  <si>
    <t>Committee Members (Equipment, Special Event Needs, etc.)</t>
  </si>
  <si>
    <t>The space below is for adding special comments to cover any details not included in the list to the left.</t>
  </si>
  <si>
    <t>Req.</t>
  </si>
  <si>
    <t>Required</t>
  </si>
  <si>
    <t>As Earned</t>
  </si>
  <si>
    <t>Committee Member</t>
  </si>
  <si>
    <t>MJP2</t>
  </si>
  <si>
    <t>MJP3</t>
  </si>
  <si>
    <t>MJP4</t>
  </si>
  <si>
    <t>MJP5</t>
  </si>
  <si>
    <t>MJP6</t>
  </si>
  <si>
    <t>MXP2</t>
  </si>
  <si>
    <t>MXP3</t>
  </si>
  <si>
    <t>MXP4</t>
  </si>
  <si>
    <t>MXP5</t>
  </si>
  <si>
    <t>MXP6</t>
  </si>
  <si>
    <t>Work at a club event (1 point per hr)(Steward, Etc.)</t>
  </si>
  <si>
    <t>Full qualification requires a minimum of 15 points. This qualifiacation allows you to receive all competative awards. Also available is partial qualification. Partial qualification is achieved when you reach a level of 5 points. This partial qualification allows you to receive crate tags, framed certificates, and plaques.</t>
  </si>
  <si>
    <t>Minimum 5 pts or more</t>
  </si>
  <si>
    <t>Minimum 15 pts or more</t>
  </si>
  <si>
    <t>In order to receive awards you must answer the questions highlighted in yellow. You need only to answer the areas that you have helped the club. To receive awards you must have a minimum of 15 points.                              For working at events you receive points in 1 hour blocks. For every 1 hour worked you earn 1 point. As an example you worked a 2 hour shift at the raffle table you would receive 2 points, stewarding for obedience for 2 hours you would earn 2 points, sweeps conformation for 2 hours you would earn 2 points. If you worked both days the amount would be doubled.</t>
  </si>
  <si>
    <t>I</t>
  </si>
  <si>
    <t>Updated to add worker partial requirements and change time points for work events</t>
  </si>
  <si>
    <t>Enter as BOB, SD, SB, or JAM</t>
  </si>
  <si>
    <t>Select Dog, Bitch, or JAM</t>
  </si>
  <si>
    <t>JAM at Nat'l Specialty</t>
  </si>
  <si>
    <t>JAM Points All Shows</t>
  </si>
  <si>
    <t>J</t>
  </si>
  <si>
    <t>Updated to add JAM's, Updated to 2016/2017</t>
  </si>
  <si>
    <t>K</t>
  </si>
  <si>
    <t>Added new titles for AKC</t>
  </si>
  <si>
    <t>GCHB</t>
  </si>
  <si>
    <t>GCHS</t>
  </si>
  <si>
    <t>GCHG</t>
  </si>
  <si>
    <t>GCHP</t>
  </si>
  <si>
    <t>POC</t>
  </si>
  <si>
    <t>CA</t>
  </si>
  <si>
    <t>CAA</t>
  </si>
  <si>
    <t>CAX</t>
  </si>
  <si>
    <t>CAX2</t>
  </si>
  <si>
    <t>CGCU</t>
  </si>
  <si>
    <t>MHU</t>
  </si>
  <si>
    <t>PUDX</t>
  </si>
  <si>
    <t>PUDX2</t>
  </si>
  <si>
    <t>PUDX3</t>
  </si>
  <si>
    <t>PUDX4</t>
  </si>
  <si>
    <t>SHU</t>
  </si>
  <si>
    <t>THD</t>
  </si>
  <si>
    <t>Preferred Obedience Point Schedule</t>
  </si>
  <si>
    <t>Preferred Novice</t>
  </si>
  <si>
    <t>Preferred Open</t>
  </si>
  <si>
    <t>Preferred Utility</t>
  </si>
  <si>
    <t>PUDX Legs</t>
  </si>
  <si>
    <t>Preferred Novice Class</t>
  </si>
  <si>
    <t>Preferred Open Class</t>
  </si>
  <si>
    <t>Preferred Utility Class</t>
  </si>
  <si>
    <t>Preferred Utility Excellent  Class</t>
  </si>
  <si>
    <t>Pref Nov</t>
  </si>
  <si>
    <t>Pref Open</t>
  </si>
  <si>
    <t>Pref Utility</t>
  </si>
  <si>
    <t>Pref Utility Exec</t>
  </si>
  <si>
    <t xml:space="preserve">UDX and PUDX Legs Special Notes!  Please enter UDX and  PUDX Legs in the following order. Enter the Utility Leg or the Preferred Utility Leg  first and then enter the Open leg or the Preferred Open Leg  in the next column using the same date.  Under the standard leg column enter yes for both legs. 
</t>
  </si>
  <si>
    <t>The absolute deadline for all awards forms to be turned into Steve Ripley of the Awards Committee is Dec. 31 each year.</t>
  </si>
  <si>
    <t>OM2</t>
  </si>
  <si>
    <t>OM3</t>
  </si>
  <si>
    <t>OM4</t>
  </si>
  <si>
    <t>OM5</t>
  </si>
  <si>
    <t>OM6</t>
  </si>
  <si>
    <t>OM7</t>
  </si>
  <si>
    <t>OM8</t>
  </si>
  <si>
    <t>OM9</t>
  </si>
  <si>
    <t>OM10</t>
  </si>
  <si>
    <t xml:space="preserve">When completed at the end of the year, you can either print the sheets and mail them to Steve Ripley or email the electronic file to sripley2000@msn.com . </t>
  </si>
  <si>
    <t>Enter as Novice, Open, Excellent, Masters, or T2B</t>
  </si>
  <si>
    <t>Enter as Std, JWW, FAST, or T2B</t>
  </si>
  <si>
    <t>L</t>
  </si>
  <si>
    <t>Added T2B leg  points</t>
  </si>
  <si>
    <t>Test to total Reg and Non-Reg Points for Vet Classes</t>
  </si>
  <si>
    <t>Sum of Test for Vet Classes</t>
  </si>
  <si>
    <t>Sum must be &gt;0</t>
  </si>
  <si>
    <t>Points earned during the year.</t>
  </si>
  <si>
    <t>Field Amateur</t>
  </si>
  <si>
    <t>Field Pro</t>
  </si>
  <si>
    <t>WRGRC Pro Field Trophy (min 5 club pts)</t>
  </si>
  <si>
    <t>Professional or Amateur</t>
  </si>
  <si>
    <t>Important Note!!                                                                 The defination of Amateur means that the dog is trained and handled by the owner or non-professional individual.</t>
  </si>
  <si>
    <t>Amateur Field Trial Placement Points</t>
  </si>
  <si>
    <t>Derby Field Trial Placement Points</t>
  </si>
  <si>
    <t>Qualifying Field Trial Placement Points</t>
  </si>
  <si>
    <t>Open Field Trial Placement Points</t>
  </si>
  <si>
    <t>Professional</t>
  </si>
  <si>
    <t>Amateur Total Points</t>
  </si>
  <si>
    <t>Provessional Total Points</t>
  </si>
  <si>
    <t>Fast Cat  Trick Dog</t>
  </si>
  <si>
    <t>BCAT</t>
  </si>
  <si>
    <t>DCAT</t>
  </si>
  <si>
    <t>FCAT</t>
  </si>
  <si>
    <t>TKN</t>
  </si>
  <si>
    <t>TKI</t>
  </si>
  <si>
    <t>TKA</t>
  </si>
  <si>
    <t>TKP</t>
  </si>
  <si>
    <t>SCN</t>
  </si>
  <si>
    <t>SCNE</t>
  </si>
  <si>
    <t>SCA</t>
  </si>
  <si>
    <t>SCAE</t>
  </si>
  <si>
    <t>SCE</t>
  </si>
  <si>
    <t>SCEE</t>
  </si>
  <si>
    <t>SCM</t>
  </si>
  <si>
    <t>SCME</t>
  </si>
  <si>
    <t>SIN</t>
  </si>
  <si>
    <t>SINE</t>
  </si>
  <si>
    <t>SIA</t>
  </si>
  <si>
    <t>SIAE</t>
  </si>
  <si>
    <t>SIE</t>
  </si>
  <si>
    <t>SIEE</t>
  </si>
  <si>
    <t>SIM</t>
  </si>
  <si>
    <t>SIME</t>
  </si>
  <si>
    <t>SEN</t>
  </si>
  <si>
    <t>SENE</t>
  </si>
  <si>
    <t>SEA</t>
  </si>
  <si>
    <t>SEAE</t>
  </si>
  <si>
    <t>SEE</t>
  </si>
  <si>
    <t>SEEE</t>
  </si>
  <si>
    <t>SEM</t>
  </si>
  <si>
    <t>SEME</t>
  </si>
  <si>
    <t>SBN</t>
  </si>
  <si>
    <t>SBNE</t>
  </si>
  <si>
    <t>SBA</t>
  </si>
  <si>
    <t>SBAE</t>
  </si>
  <si>
    <t>SBE</t>
  </si>
  <si>
    <t>SBEE</t>
  </si>
  <si>
    <t>SBM</t>
  </si>
  <si>
    <t>SBME</t>
  </si>
  <si>
    <t>SHDN</t>
  </si>
  <si>
    <t>SHDNE</t>
  </si>
  <si>
    <t>SHDA</t>
  </si>
  <si>
    <t>SHDAE</t>
  </si>
  <si>
    <t>SHDE</t>
  </si>
  <si>
    <t>SHDEE</t>
  </si>
  <si>
    <t>SHDM</t>
  </si>
  <si>
    <t>SHDME</t>
  </si>
  <si>
    <t>SND</t>
  </si>
  <si>
    <t>SWN</t>
  </si>
  <si>
    <t>SWNE</t>
  </si>
  <si>
    <t>SWA</t>
  </si>
  <si>
    <t>SWAE</t>
  </si>
  <si>
    <t>SWE</t>
  </si>
  <si>
    <t>SWEE</t>
  </si>
  <si>
    <t>SWME</t>
  </si>
  <si>
    <t>Fast Cat Points Tally Sheet</t>
  </si>
  <si>
    <t>Trick Dog Points Tally Sheet</t>
  </si>
  <si>
    <t>Scent Work Points Tally Sheet</t>
  </si>
  <si>
    <t>Fast Cat Totals</t>
  </si>
  <si>
    <t>BCAT Title</t>
  </si>
  <si>
    <t>DCAT Title</t>
  </si>
  <si>
    <t>FCAT Title</t>
  </si>
  <si>
    <t>BCAT Title Points</t>
  </si>
  <si>
    <t>DCAT  Title Points</t>
  </si>
  <si>
    <t>FCAT Title Points</t>
  </si>
  <si>
    <t>Trick Dog Totals</t>
  </si>
  <si>
    <t>TKI Title</t>
  </si>
  <si>
    <t>TKN Title</t>
  </si>
  <si>
    <t>TKA Title</t>
  </si>
  <si>
    <t>TKP Title</t>
  </si>
  <si>
    <t>TKN Title Points</t>
  </si>
  <si>
    <t>TKI Title Points</t>
  </si>
  <si>
    <t>TKA Title Points</t>
  </si>
  <si>
    <t>TKP Title Points</t>
  </si>
  <si>
    <t>Scent Work Totals</t>
  </si>
  <si>
    <t>Container Title</t>
  </si>
  <si>
    <t>Enter Title Earned</t>
  </si>
  <si>
    <t>Interior Title</t>
  </si>
  <si>
    <t>Exterior Title</t>
  </si>
  <si>
    <t>Buried Title</t>
  </si>
  <si>
    <t>Handler Descrimination Title</t>
  </si>
  <si>
    <t xml:space="preserve">Detectuve Class </t>
  </si>
  <si>
    <t>Multi-Class</t>
  </si>
  <si>
    <t>Scent Work</t>
  </si>
  <si>
    <t>Trick Dog</t>
  </si>
  <si>
    <t>Fast cat</t>
  </si>
  <si>
    <t>Scent Work Point Schedule</t>
  </si>
  <si>
    <t>Container</t>
  </si>
  <si>
    <t>Interior</t>
  </si>
  <si>
    <t>Exterior</t>
  </si>
  <si>
    <t>Buried</t>
  </si>
  <si>
    <t>Handler Discrimation</t>
  </si>
  <si>
    <t>Dectective</t>
  </si>
  <si>
    <t>N</t>
  </si>
  <si>
    <t>AE</t>
  </si>
  <si>
    <t>EE</t>
  </si>
  <si>
    <t>Trick Dog  Point Schedule</t>
  </si>
  <si>
    <t>Fast Cat  Point Schedule</t>
  </si>
  <si>
    <t>M</t>
  </si>
  <si>
    <t>ME</t>
  </si>
  <si>
    <t>SWM</t>
  </si>
  <si>
    <t>Up dated to add new titles and new field award</t>
  </si>
  <si>
    <t>TDU Title Points</t>
  </si>
  <si>
    <t>TDU Title Enter as Yes or No</t>
  </si>
  <si>
    <t>Scent Work - CT SHR Gaylan's Wild Goose Chase PCDX BN RN JH AX MXJ MJB XF SCN SIN SEN WC VCX CCA NW1 Winners Plaque</t>
  </si>
  <si>
    <t>RM</t>
  </si>
  <si>
    <t>RAE1</t>
  </si>
  <si>
    <t>RAE2</t>
  </si>
  <si>
    <t>RAE3</t>
  </si>
  <si>
    <t>RAE4</t>
  </si>
  <si>
    <t>RAE5</t>
  </si>
  <si>
    <t>RAE6</t>
  </si>
  <si>
    <t>RAE7</t>
  </si>
  <si>
    <t>RAE8</t>
  </si>
  <si>
    <t>RAE9</t>
  </si>
  <si>
    <t>RAE10</t>
  </si>
  <si>
    <t>RM2</t>
  </si>
  <si>
    <t>RM1</t>
  </si>
  <si>
    <t>RM3</t>
  </si>
  <si>
    <t>RM4</t>
  </si>
  <si>
    <t>RM5</t>
  </si>
  <si>
    <t>RM6</t>
  </si>
  <si>
    <t>RM7</t>
  </si>
  <si>
    <t>RM8</t>
  </si>
  <si>
    <t>RM9</t>
  </si>
  <si>
    <t>RM10</t>
  </si>
  <si>
    <t>Master Class Place Pts</t>
  </si>
  <si>
    <t>Master Leg Points</t>
  </si>
  <si>
    <t>Added Master titles and point schedule for Rally</t>
  </si>
  <si>
    <t>CDX, PCDX or TDX &amp; WCX in any time frame</t>
  </si>
  <si>
    <t>Test Prior TDX &amp; WCX</t>
  </si>
  <si>
    <t>CDX or PCDX Prior Year</t>
  </si>
  <si>
    <t>CDX or PCDX Current Year</t>
  </si>
  <si>
    <t>Test Prior CDX, or PCDX &amp; WCX</t>
  </si>
  <si>
    <t>Test Current vs. Prior Year Winner</t>
  </si>
  <si>
    <t>Enter Legs Earned Yes or No</t>
  </si>
  <si>
    <t>Leg Points Earned</t>
  </si>
  <si>
    <t>Leg Points All Classes</t>
  </si>
  <si>
    <t>Added Preferred titles to Bekens Xtra Mile Award and Raggedy Ann Award, Leg pts to Scentwork</t>
  </si>
  <si>
    <t>RACH</t>
  </si>
  <si>
    <t>RACH2</t>
  </si>
  <si>
    <t>RACH3</t>
  </si>
  <si>
    <t>RACH4</t>
  </si>
  <si>
    <t>RACH5</t>
  </si>
  <si>
    <t>RACH6</t>
  </si>
  <si>
    <t>RACH7</t>
  </si>
  <si>
    <t>RACH8</t>
  </si>
  <si>
    <t>RACH9</t>
  </si>
  <si>
    <t>RACH10</t>
  </si>
  <si>
    <t>RI</t>
  </si>
  <si>
    <t>Enter as Novice, Intermediate, Advanced, Excellent, or Master</t>
  </si>
  <si>
    <t>Intermediate Class Pts</t>
  </si>
  <si>
    <t>Intermediate</t>
  </si>
  <si>
    <t>Tracking or Fast Cat</t>
  </si>
  <si>
    <t>AKC Reg. Number</t>
  </si>
  <si>
    <t>Treiball Non-AKC</t>
  </si>
  <si>
    <t>TE-PN</t>
  </si>
  <si>
    <t>TE-N</t>
  </si>
  <si>
    <t>TE-I</t>
  </si>
  <si>
    <t>TE-A</t>
  </si>
  <si>
    <t>TE-E</t>
  </si>
  <si>
    <t>TE-NBO</t>
  </si>
  <si>
    <t>TE-IBO</t>
  </si>
  <si>
    <t>TE-ABO</t>
  </si>
  <si>
    <t>TE-EBO</t>
  </si>
  <si>
    <t>TE-NST</t>
  </si>
  <si>
    <t>TE-IST</t>
  </si>
  <si>
    <t>TE-AST</t>
  </si>
  <si>
    <t>TE-EST</t>
  </si>
  <si>
    <t>TE-NSP</t>
  </si>
  <si>
    <t>TE-ISP</t>
  </si>
  <si>
    <t>TE-ASP</t>
  </si>
  <si>
    <t>TE-ESP</t>
  </si>
  <si>
    <t>TE-NSN</t>
  </si>
  <si>
    <t>TE-ISN</t>
  </si>
  <si>
    <t>TE-ASN</t>
  </si>
  <si>
    <t>TE-ESN</t>
  </si>
  <si>
    <t>TE-NUH</t>
  </si>
  <si>
    <t>TE-IUH</t>
  </si>
  <si>
    <t>TE-AUH</t>
  </si>
  <si>
    <t>TE-EUH</t>
  </si>
  <si>
    <t>OTE-N</t>
  </si>
  <si>
    <t>OTE-I</t>
  </si>
  <si>
    <t>OTE-A</t>
  </si>
  <si>
    <t>OTE-E</t>
  </si>
  <si>
    <t>OTE-NBO</t>
  </si>
  <si>
    <t>OTE-IBO</t>
  </si>
  <si>
    <t>OTE-ABO</t>
  </si>
  <si>
    <t>OTE-EBO</t>
  </si>
  <si>
    <t>OTE-NST</t>
  </si>
  <si>
    <t>OTE-IST</t>
  </si>
  <si>
    <t>OTE-AST</t>
  </si>
  <si>
    <t>OTE-EST</t>
  </si>
  <si>
    <t>OTE-ISP</t>
  </si>
  <si>
    <t>OTE-ASP</t>
  </si>
  <si>
    <t>OTE-ESP</t>
  </si>
  <si>
    <t>OTE-NUH</t>
  </si>
  <si>
    <t>OTE-IUH</t>
  </si>
  <si>
    <t>OTE-AUH</t>
  </si>
  <si>
    <t>OTE-EUH</t>
  </si>
  <si>
    <t>OTE-NSN</t>
  </si>
  <si>
    <t>OTE-ISN</t>
  </si>
  <si>
    <t>OTE-ASN</t>
  </si>
  <si>
    <t>OTE-ESN</t>
  </si>
  <si>
    <t>OTE-NSP</t>
  </si>
  <si>
    <t>Premier</t>
  </si>
  <si>
    <t>Premier Placement Points</t>
  </si>
  <si>
    <t>Health Clinic</t>
  </si>
  <si>
    <t>Field      Fetch</t>
  </si>
  <si>
    <t>FTN</t>
  </si>
  <si>
    <t>FTI</t>
  </si>
  <si>
    <t>FTA</t>
  </si>
  <si>
    <t>FTR</t>
  </si>
  <si>
    <t>Did your dog Earn legs for a Hunt title or Earn a WC/WCX Title?                (Enter Yes or No)</t>
  </si>
  <si>
    <t>Awards Qualified for and earned 2025 Awarded Feb. 2026</t>
  </si>
  <si>
    <t>WRGRC 3 Way Award Qualified (Earned points in all 3 areas over Multi Years) option to include 1 pt from a GRCA CCA</t>
  </si>
  <si>
    <t>CCA</t>
  </si>
  <si>
    <t>Enter as WD or WB or CCA</t>
  </si>
  <si>
    <t>GRCA CCA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</si>
</sst>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9]mmmm\ d\,\ yyyy;@"/>
  </numFmts>
  <fonts count="24" x14ac:knownFonts="1">
    <font>
      <sz val="10"/>
      <name val="Arial"/>
    </font>
    <font>
      <sz val="10"/>
      <name val="Arial"/>
      <family val="2"/>
    </font>
    <font>
      <sz val="8"/>
      <name val="Arial"/>
      <family val="2"/>
    </font>
    <font>
      <b/>
      <sz val="10"/>
      <name val="Arial"/>
      <family val="2"/>
    </font>
    <font>
      <sz val="16"/>
      <name val="Arial"/>
      <family val="2"/>
    </font>
    <font>
      <b/>
      <sz val="16"/>
      <name val="Arial"/>
      <family val="2"/>
    </font>
    <font>
      <sz val="12"/>
      <name val="Arial"/>
      <family val="2"/>
    </font>
    <font>
      <b/>
      <sz val="14"/>
      <name val="Arial"/>
      <family val="2"/>
    </font>
    <font>
      <b/>
      <sz val="12"/>
      <name val="Arial"/>
      <family val="2"/>
    </font>
    <font>
      <b/>
      <sz val="10"/>
      <name val="Arial"/>
      <family val="2"/>
    </font>
    <font>
      <sz val="12"/>
      <name val="Arial"/>
      <family val="2"/>
    </font>
    <font>
      <b/>
      <sz val="11"/>
      <name val="Arial"/>
      <family val="2"/>
    </font>
    <font>
      <b/>
      <sz val="18"/>
      <name val="Arial"/>
      <family val="2"/>
    </font>
    <font>
      <b/>
      <sz val="12"/>
      <name val="Arial"/>
      <family val="2"/>
    </font>
    <font>
      <b/>
      <sz val="12"/>
      <color indexed="8"/>
      <name val="Verdana"/>
      <family val="2"/>
    </font>
    <font>
      <b/>
      <sz val="12"/>
      <color indexed="8"/>
      <name val="Arial"/>
      <family val="2"/>
    </font>
    <font>
      <sz val="20"/>
      <name val="Arial"/>
      <family val="2"/>
    </font>
    <font>
      <b/>
      <sz val="24"/>
      <name val="Arial"/>
      <family val="2"/>
    </font>
    <font>
      <b/>
      <sz val="8"/>
      <name val="Arial"/>
      <family val="2"/>
    </font>
    <font>
      <sz val="8"/>
      <name val="Arial"/>
      <family val="2"/>
    </font>
    <font>
      <b/>
      <sz val="7"/>
      <name val="Arial"/>
      <family val="2"/>
    </font>
    <font>
      <b/>
      <sz val="9"/>
      <name val="Arial"/>
      <family val="2"/>
    </font>
    <font>
      <sz val="18"/>
      <name val="Arial"/>
      <family val="2"/>
    </font>
    <font>
      <b/>
      <sz val="16"/>
      <color theme="1"/>
      <name val="Calibri"/>
      <family val="2"/>
      <scheme val="minor"/>
    </font>
  </fonts>
  <fills count="15">
    <fill>
      <patternFill patternType="none"/>
    </fill>
    <fill>
      <patternFill patternType="gray125"/>
    </fill>
    <fill>
      <patternFill patternType="solid">
        <fgColor indexed="41"/>
        <bgColor indexed="64"/>
      </patternFill>
    </fill>
    <fill>
      <patternFill patternType="gray0625"/>
    </fill>
    <fill>
      <patternFill patternType="lightTrellis">
        <bgColor indexed="41"/>
      </patternFill>
    </fill>
    <fill>
      <patternFill patternType="solid">
        <fgColor indexed="27"/>
        <bgColor indexed="64"/>
      </patternFill>
    </fill>
    <fill>
      <patternFill patternType="solid">
        <fgColor indexed="26"/>
        <bgColor indexed="64"/>
      </patternFill>
    </fill>
    <fill>
      <patternFill patternType="lightGray"/>
    </fill>
    <fill>
      <patternFill patternType="solid">
        <fgColor rgb="FFFFFF00"/>
        <bgColor indexed="64"/>
      </patternFill>
    </fill>
    <fill>
      <patternFill patternType="solid">
        <fgColor rgb="FFCCFFFF"/>
        <bgColor indexed="64"/>
      </patternFill>
    </fill>
    <fill>
      <patternFill patternType="solid">
        <fgColor rgb="FF00FFCC"/>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9" tint="0.59996337778862885"/>
        <bgColor indexed="64"/>
      </patternFill>
    </fill>
    <fill>
      <patternFill patternType="solid">
        <fgColor rgb="FF99FFCC"/>
        <bgColor indexed="64"/>
      </patternFill>
    </fill>
  </fills>
  <borders count="154">
    <border>
      <left/>
      <right/>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right/>
      <top style="double">
        <color indexed="64"/>
      </top>
      <bottom/>
      <diagonal/>
    </border>
    <border>
      <left/>
      <right/>
      <top style="thick">
        <color indexed="64"/>
      </top>
      <bottom/>
      <diagonal/>
    </border>
    <border>
      <left style="double">
        <color indexed="64"/>
      </left>
      <right/>
      <top/>
      <bottom/>
      <diagonal/>
    </border>
    <border>
      <left style="thin">
        <color indexed="64"/>
      </left>
      <right style="thin">
        <color indexed="64"/>
      </right>
      <top/>
      <bottom style="thin">
        <color indexed="64"/>
      </bottom>
      <diagonal/>
    </border>
    <border>
      <left style="thin">
        <color indexed="64"/>
      </left>
      <right style="thin">
        <color indexed="64"/>
      </right>
      <top style="double">
        <color indexed="64"/>
      </top>
      <bottom/>
      <diagonal/>
    </border>
    <border>
      <left style="thick">
        <color indexed="64"/>
      </left>
      <right/>
      <top style="thick">
        <color indexed="64"/>
      </top>
      <bottom/>
      <diagonal/>
    </border>
    <border>
      <left style="double">
        <color indexed="64"/>
      </left>
      <right style="double">
        <color indexed="64"/>
      </right>
      <top/>
      <bottom/>
      <diagonal/>
    </border>
    <border>
      <left/>
      <right/>
      <top/>
      <bottom style="double">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style="double">
        <color indexed="64"/>
      </left>
      <right style="double">
        <color indexed="64"/>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thin">
        <color indexed="64"/>
      </bottom>
      <diagonal/>
    </border>
    <border>
      <left style="double">
        <color indexed="64"/>
      </left>
      <right style="thin">
        <color indexed="64"/>
      </right>
      <top/>
      <bottom style="double">
        <color indexed="64"/>
      </bottom>
      <diagonal/>
    </border>
    <border>
      <left style="thin">
        <color indexed="64"/>
      </left>
      <right style="double">
        <color indexed="64"/>
      </right>
      <top style="double">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thin">
        <color indexed="64"/>
      </left>
      <right style="double">
        <color indexed="64"/>
      </right>
      <top/>
      <bottom style="double">
        <color indexed="64"/>
      </bottom>
      <diagonal/>
    </border>
    <border>
      <left style="thin">
        <color indexed="64"/>
      </left>
      <right style="thin">
        <color indexed="64"/>
      </right>
      <top style="thin">
        <color indexed="64"/>
      </top>
      <bottom style="double">
        <color indexed="64"/>
      </bottom>
      <diagonal/>
    </border>
    <border>
      <left/>
      <right style="double">
        <color indexed="64"/>
      </right>
      <top style="double">
        <color indexed="64"/>
      </top>
      <bottom/>
      <diagonal/>
    </border>
    <border>
      <left/>
      <right style="double">
        <color indexed="64"/>
      </right>
      <top/>
      <bottom/>
      <diagonal/>
    </border>
    <border>
      <left style="double">
        <color indexed="64"/>
      </left>
      <right/>
      <top style="double">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ouble">
        <color indexed="64"/>
      </left>
      <right/>
      <top/>
      <bottom style="double">
        <color indexed="64"/>
      </bottom>
      <diagonal/>
    </border>
    <border>
      <left style="double">
        <color indexed="64"/>
      </left>
      <right/>
      <top style="double">
        <color indexed="64"/>
      </top>
      <bottom style="double">
        <color indexed="64"/>
      </bottom>
      <diagonal/>
    </border>
    <border>
      <left style="double">
        <color indexed="64"/>
      </left>
      <right style="double">
        <color indexed="64"/>
      </right>
      <top style="double">
        <color indexed="64"/>
      </top>
      <bottom style="thin">
        <color indexed="64"/>
      </bottom>
      <diagonal/>
    </border>
    <border>
      <left style="double">
        <color indexed="64"/>
      </left>
      <right style="double">
        <color indexed="64"/>
      </right>
      <top style="thin">
        <color indexed="64"/>
      </top>
      <bottom style="double">
        <color indexed="64"/>
      </bottom>
      <diagonal/>
    </border>
    <border>
      <left/>
      <right/>
      <top style="thin">
        <color indexed="64"/>
      </top>
      <bottom style="thin">
        <color indexed="64"/>
      </bottom>
      <diagonal/>
    </border>
    <border>
      <left style="thick">
        <color indexed="64"/>
      </left>
      <right style="thin">
        <color indexed="64"/>
      </right>
      <top style="thin">
        <color indexed="64"/>
      </top>
      <bottom style="thin">
        <color indexed="64"/>
      </bottom>
      <diagonal/>
    </border>
    <border>
      <left style="thick">
        <color indexed="64"/>
      </left>
      <right style="thin">
        <color indexed="64"/>
      </right>
      <top style="thin">
        <color indexed="64"/>
      </top>
      <bottom style="thick">
        <color indexed="64"/>
      </bottom>
      <diagonal/>
    </border>
    <border>
      <left style="thin">
        <color indexed="64"/>
      </left>
      <right style="thick">
        <color indexed="64"/>
      </right>
      <top style="thin">
        <color indexed="64"/>
      </top>
      <bottom style="thin">
        <color indexed="64"/>
      </bottom>
      <diagonal/>
    </border>
    <border>
      <left style="thin">
        <color indexed="64"/>
      </left>
      <right style="thick">
        <color indexed="64"/>
      </right>
      <top style="thin">
        <color indexed="64"/>
      </top>
      <bottom style="thick">
        <color indexed="64"/>
      </bottom>
      <diagonal/>
    </border>
    <border>
      <left/>
      <right/>
      <top style="thin">
        <color indexed="64"/>
      </top>
      <bottom/>
      <diagonal/>
    </border>
    <border>
      <left style="double">
        <color indexed="64"/>
      </left>
      <right style="thin">
        <color indexed="64"/>
      </right>
      <top style="thin">
        <color indexed="64"/>
      </top>
      <bottom/>
      <diagonal/>
    </border>
    <border>
      <left style="thin">
        <color indexed="64"/>
      </left>
      <right style="double">
        <color indexed="64"/>
      </right>
      <top style="thin">
        <color indexed="64"/>
      </top>
      <bottom/>
      <diagonal/>
    </border>
    <border>
      <left style="medium">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ck">
        <color indexed="64"/>
      </right>
      <top style="thin">
        <color indexed="64"/>
      </top>
      <bottom/>
      <diagonal/>
    </border>
    <border>
      <left style="double">
        <color indexed="64"/>
      </left>
      <right style="thin">
        <color indexed="64"/>
      </right>
      <top style="double">
        <color indexed="64"/>
      </top>
      <bottom/>
      <diagonal/>
    </border>
    <border>
      <left style="thin">
        <color indexed="64"/>
      </left>
      <right style="double">
        <color indexed="64"/>
      </right>
      <top style="double">
        <color indexed="64"/>
      </top>
      <bottom/>
      <diagonal/>
    </border>
    <border>
      <left style="double">
        <color indexed="64"/>
      </left>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double">
        <color indexed="64"/>
      </right>
      <top style="double">
        <color indexed="64"/>
      </top>
      <bottom style="double">
        <color indexed="64"/>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thin">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style="thick">
        <color indexed="64"/>
      </right>
      <top style="thick">
        <color indexed="64"/>
      </top>
      <bottom/>
      <diagonal/>
    </border>
    <border>
      <left style="thick">
        <color indexed="64"/>
      </left>
      <right/>
      <top style="double">
        <color indexed="64"/>
      </top>
      <bottom/>
      <diagonal/>
    </border>
    <border>
      <left style="thick">
        <color indexed="64"/>
      </left>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double">
        <color indexed="64"/>
      </left>
      <right/>
      <top style="thin">
        <color indexed="64"/>
      </top>
      <bottom style="thin">
        <color indexed="64"/>
      </bottom>
      <diagonal/>
    </border>
    <border>
      <left/>
      <right style="double">
        <color indexed="64"/>
      </right>
      <top style="thin">
        <color indexed="64"/>
      </top>
      <bottom style="thin">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double">
        <color indexed="64"/>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double">
        <color indexed="64"/>
      </right>
      <top style="double">
        <color indexed="64"/>
      </top>
      <bottom/>
      <diagonal/>
    </border>
    <border>
      <left style="double">
        <color indexed="64"/>
      </left>
      <right style="double">
        <color indexed="64"/>
      </right>
      <top/>
      <bottom style="double">
        <color indexed="64"/>
      </bottom>
      <diagonal/>
    </border>
    <border>
      <left/>
      <right style="double">
        <color indexed="64"/>
      </right>
      <top style="double">
        <color indexed="64"/>
      </top>
      <bottom style="double">
        <color indexed="64"/>
      </bottom>
      <diagonal/>
    </border>
    <border>
      <left/>
      <right style="thin">
        <color indexed="64"/>
      </right>
      <top style="double">
        <color indexed="64"/>
      </top>
      <bottom/>
      <diagonal/>
    </border>
    <border>
      <left style="thin">
        <color indexed="64"/>
      </left>
      <right style="thin">
        <color indexed="64"/>
      </right>
      <top style="double">
        <color indexed="64"/>
      </top>
      <bottom style="thin">
        <color indexed="64"/>
      </bottom>
      <diagonal/>
    </border>
    <border>
      <left/>
      <right style="double">
        <color indexed="64"/>
      </right>
      <top style="thin">
        <color indexed="64"/>
      </top>
      <bottom style="double">
        <color indexed="64"/>
      </bottom>
      <diagonal/>
    </border>
    <border>
      <left style="double">
        <color indexed="64"/>
      </left>
      <right/>
      <top/>
      <bottom style="thin">
        <color indexed="64"/>
      </bottom>
      <diagonal/>
    </border>
    <border>
      <left style="double">
        <color indexed="64"/>
      </left>
      <right style="thin">
        <color indexed="64"/>
      </right>
      <top style="double">
        <color indexed="64"/>
      </top>
      <bottom style="double">
        <color indexed="64"/>
      </bottom>
      <diagonal/>
    </border>
    <border>
      <left/>
      <right style="double">
        <color indexed="64"/>
      </right>
      <top/>
      <bottom style="double">
        <color indexed="64"/>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style="thin">
        <color indexed="64"/>
      </right>
      <top style="double">
        <color indexed="64"/>
      </top>
      <bottom style="double">
        <color indexed="64"/>
      </bottom>
      <diagonal/>
    </border>
    <border>
      <left style="thin">
        <color indexed="64"/>
      </left>
      <right/>
      <top style="double">
        <color indexed="64"/>
      </top>
      <bottom/>
      <diagonal/>
    </border>
    <border>
      <left style="double">
        <color indexed="64"/>
      </left>
      <right/>
      <top style="thin">
        <color indexed="64"/>
      </top>
      <bottom/>
      <diagonal/>
    </border>
    <border>
      <left style="thin">
        <color indexed="64"/>
      </left>
      <right style="double">
        <color indexed="64"/>
      </right>
      <top/>
      <bottom style="thin">
        <color indexed="64"/>
      </bottom>
      <diagonal/>
    </border>
    <border>
      <left style="double">
        <color indexed="64"/>
      </left>
      <right style="double">
        <color indexed="64"/>
      </right>
      <top style="thin">
        <color indexed="64"/>
      </top>
      <bottom/>
      <diagonal/>
    </border>
    <border>
      <left/>
      <right style="double">
        <color indexed="64"/>
      </right>
      <top style="thin">
        <color indexed="64"/>
      </top>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ck">
        <color indexed="64"/>
      </left>
      <right/>
      <top style="thin">
        <color indexed="64"/>
      </top>
      <bottom/>
      <diagonal/>
    </border>
    <border>
      <left style="thick">
        <color indexed="64"/>
      </left>
      <right/>
      <top/>
      <bottom style="thin">
        <color indexed="64"/>
      </bottom>
      <diagonal/>
    </border>
    <border>
      <left style="thin">
        <color indexed="64"/>
      </left>
      <right style="thick">
        <color indexed="64"/>
      </right>
      <top style="thick">
        <color indexed="64"/>
      </top>
      <bottom style="thin">
        <color indexed="64"/>
      </bottom>
      <diagonal/>
    </border>
    <border>
      <left/>
      <right style="thick">
        <color indexed="64"/>
      </right>
      <top style="thin">
        <color indexed="64"/>
      </top>
      <bottom style="thin">
        <color indexed="64"/>
      </bottom>
      <diagonal/>
    </border>
    <border>
      <left style="thin">
        <color indexed="64"/>
      </left>
      <right/>
      <top style="thin">
        <color indexed="64"/>
      </top>
      <bottom style="thick">
        <color indexed="64"/>
      </bottom>
      <diagonal/>
    </border>
    <border>
      <left/>
      <right style="thick">
        <color indexed="64"/>
      </right>
      <top style="thin">
        <color indexed="64"/>
      </top>
      <bottom style="thick">
        <color indexed="64"/>
      </bottom>
      <diagonal/>
    </border>
    <border>
      <left style="thick">
        <color indexed="64"/>
      </left>
      <right/>
      <top style="thin">
        <color indexed="64"/>
      </top>
      <bottom style="thin">
        <color indexed="64"/>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top style="thick">
        <color indexed="64"/>
      </top>
      <bottom style="thin">
        <color indexed="64"/>
      </bottom>
      <diagonal/>
    </border>
    <border>
      <left/>
      <right/>
      <top style="thick">
        <color indexed="64"/>
      </top>
      <bottom style="thin">
        <color indexed="64"/>
      </bottom>
      <diagonal/>
    </border>
    <border>
      <left/>
      <right style="thick">
        <color indexed="64"/>
      </right>
      <top style="thick">
        <color indexed="64"/>
      </top>
      <bottom style="thin">
        <color indexed="64"/>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right style="thick">
        <color indexed="64"/>
      </right>
      <top style="thin">
        <color indexed="64"/>
      </top>
      <bottom/>
      <diagonal/>
    </border>
    <border>
      <left style="thin">
        <color indexed="64"/>
      </left>
      <right style="thin">
        <color indexed="64"/>
      </right>
      <top style="thick">
        <color indexed="64"/>
      </top>
      <bottom style="thick">
        <color indexed="64"/>
      </bottom>
      <diagonal/>
    </border>
    <border>
      <left style="thin">
        <color indexed="64"/>
      </left>
      <right style="thick">
        <color indexed="64"/>
      </right>
      <top style="thick">
        <color indexed="64"/>
      </top>
      <bottom style="thick">
        <color indexed="64"/>
      </bottom>
      <diagonal/>
    </border>
    <border>
      <left style="thick">
        <color indexed="64"/>
      </left>
      <right style="thin">
        <color indexed="64"/>
      </right>
      <top style="thick">
        <color indexed="64"/>
      </top>
      <bottom style="thick">
        <color indexed="64"/>
      </bottom>
      <diagonal/>
    </border>
    <border>
      <left style="thick">
        <color indexed="64"/>
      </left>
      <right/>
      <top style="thin">
        <color indexed="64"/>
      </top>
      <bottom style="thick">
        <color indexed="64"/>
      </bottom>
      <diagonal/>
    </border>
    <border>
      <left/>
      <right/>
      <top style="thin">
        <color indexed="64"/>
      </top>
      <bottom style="thick">
        <color indexed="64"/>
      </bottom>
      <diagonal/>
    </border>
    <border>
      <left/>
      <right style="thin">
        <color indexed="64"/>
      </right>
      <top style="thin">
        <color indexed="64"/>
      </top>
      <bottom style="thick">
        <color indexed="64"/>
      </bottom>
      <diagonal/>
    </border>
    <border>
      <left style="thin">
        <color indexed="64"/>
      </left>
      <right style="thick">
        <color indexed="64"/>
      </right>
      <top/>
      <bottom style="thin">
        <color indexed="64"/>
      </bottom>
      <diagonal/>
    </border>
    <border>
      <left style="thick">
        <color indexed="64"/>
      </left>
      <right style="thin">
        <color indexed="64"/>
      </right>
      <top style="thin">
        <color indexed="64"/>
      </top>
      <bottom/>
      <diagonal/>
    </border>
    <border>
      <left style="thick">
        <color indexed="64"/>
      </left>
      <right style="thin">
        <color indexed="64"/>
      </right>
      <top/>
      <bottom style="thin">
        <color indexed="64"/>
      </bottom>
      <diagonal/>
    </border>
    <border>
      <left style="thick">
        <color indexed="64"/>
      </left>
      <right style="thin">
        <color indexed="64"/>
      </right>
      <top/>
      <bottom style="thick">
        <color indexed="64"/>
      </bottom>
      <diagonal/>
    </border>
    <border>
      <left style="thin">
        <color indexed="64"/>
      </left>
      <right style="thin">
        <color indexed="64"/>
      </right>
      <top/>
      <bottom style="thick">
        <color indexed="64"/>
      </bottom>
      <diagonal/>
    </border>
    <border>
      <left style="thin">
        <color indexed="64"/>
      </left>
      <right style="thick">
        <color indexed="64"/>
      </right>
      <top/>
      <bottom style="thick">
        <color indexed="64"/>
      </bottom>
      <diagonal/>
    </border>
    <border>
      <left style="double">
        <color indexed="64"/>
      </left>
      <right style="thick">
        <color indexed="64"/>
      </right>
      <top style="double">
        <color indexed="64"/>
      </top>
      <bottom/>
      <diagonal/>
    </border>
    <border>
      <left style="thick">
        <color indexed="64"/>
      </left>
      <right style="thick">
        <color indexed="64"/>
      </right>
      <top style="double">
        <color indexed="64"/>
      </top>
      <bottom/>
      <diagonal/>
    </border>
    <border>
      <left style="double">
        <color indexed="64"/>
      </left>
      <right style="thick">
        <color indexed="64"/>
      </right>
      <top/>
      <bottom style="thick">
        <color indexed="64"/>
      </bottom>
      <diagonal/>
    </border>
    <border>
      <left style="thick">
        <color indexed="64"/>
      </left>
      <right style="thick">
        <color indexed="64"/>
      </right>
      <top/>
      <bottom style="thick">
        <color indexed="64"/>
      </bottom>
      <diagonal/>
    </border>
    <border>
      <left style="double">
        <color indexed="64"/>
      </left>
      <right/>
      <top style="thick">
        <color indexed="64"/>
      </top>
      <bottom style="thin">
        <color indexed="64"/>
      </bottom>
      <diagonal/>
    </border>
    <border>
      <left/>
      <right style="double">
        <color indexed="64"/>
      </right>
      <top style="thick">
        <color indexed="64"/>
      </top>
      <bottom style="thin">
        <color indexed="64"/>
      </bottom>
      <diagonal/>
    </border>
    <border>
      <left style="double">
        <color indexed="64"/>
      </left>
      <right/>
      <top style="thick">
        <color indexed="64"/>
      </top>
      <bottom/>
      <diagonal/>
    </border>
    <border>
      <left/>
      <right style="double">
        <color indexed="64"/>
      </right>
      <top style="thick">
        <color indexed="64"/>
      </top>
      <bottom/>
      <diagonal/>
    </border>
    <border>
      <left style="thin">
        <color indexed="64"/>
      </left>
      <right style="thin">
        <color indexed="64"/>
      </right>
      <top style="thin">
        <color indexed="64"/>
      </top>
      <bottom style="slantDashDot">
        <color indexed="64"/>
      </bottom>
      <diagonal/>
    </border>
  </borders>
  <cellStyleXfs count="2">
    <xf numFmtId="0" fontId="0" fillId="0" borderId="0"/>
    <xf numFmtId="0" fontId="1" fillId="0" borderId="0"/>
  </cellStyleXfs>
  <cellXfs count="1059">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wrapText="1"/>
    </xf>
    <xf numFmtId="0" fontId="0" fillId="2" borderId="1" xfId="0" applyFill="1" applyBorder="1"/>
    <xf numFmtId="0" fontId="0" fillId="2" borderId="0" xfId="0" applyFill="1" applyAlignment="1">
      <alignment horizontal="center"/>
    </xf>
    <xf numFmtId="0" fontId="0" fillId="2" borderId="2" xfId="0" applyFill="1" applyBorder="1"/>
    <xf numFmtId="0" fontId="0" fillId="2" borderId="0" xfId="0" applyFill="1"/>
    <xf numFmtId="0" fontId="0" fillId="2" borderId="3" xfId="0" applyFill="1" applyBorder="1"/>
    <xf numFmtId="0" fontId="0" fillId="2" borderId="4" xfId="0" applyFill="1" applyBorder="1"/>
    <xf numFmtId="0" fontId="0" fillId="2" borderId="5" xfId="0" applyFill="1" applyBorder="1" applyAlignment="1">
      <alignment horizontal="center"/>
    </xf>
    <xf numFmtId="0" fontId="0" fillId="2" borderId="0" xfId="0" applyFill="1" applyAlignment="1">
      <alignment horizontal="center" wrapText="1"/>
    </xf>
    <xf numFmtId="0" fontId="1" fillId="2" borderId="0" xfId="0" applyFont="1" applyFill="1" applyAlignment="1">
      <alignment horizontal="center" wrapText="1"/>
    </xf>
    <xf numFmtId="0" fontId="0" fillId="2" borderId="1" xfId="0" applyFill="1" applyBorder="1" applyAlignment="1">
      <alignment vertical="center" wrapText="1"/>
    </xf>
    <xf numFmtId="0" fontId="0" fillId="2" borderId="0" xfId="0" applyFill="1" applyAlignment="1">
      <alignment vertical="center"/>
    </xf>
    <xf numFmtId="0" fontId="0" fillId="2" borderId="2" xfId="0" applyFill="1" applyBorder="1" applyAlignment="1">
      <alignment horizontal="center"/>
    </xf>
    <xf numFmtId="0" fontId="0" fillId="3" borderId="0" xfId="0" applyFill="1" applyAlignment="1">
      <alignment horizontal="center" vertical="center" wrapText="1"/>
    </xf>
    <xf numFmtId="0" fontId="0" fillId="3" borderId="1" xfId="0" applyFill="1" applyBorder="1"/>
    <xf numFmtId="0" fontId="0" fillId="3" borderId="0" xfId="0" applyFill="1"/>
    <xf numFmtId="0" fontId="0" fillId="3" borderId="2" xfId="0" applyFill="1" applyBorder="1"/>
    <xf numFmtId="0" fontId="0" fillId="3" borderId="6" xfId="0" applyFill="1" applyBorder="1" applyAlignment="1">
      <alignment horizontal="center" vertical="center" wrapText="1"/>
    </xf>
    <xf numFmtId="0" fontId="0" fillId="3" borderId="0" xfId="0" applyFill="1" applyAlignment="1">
      <alignment horizontal="center" vertical="center"/>
    </xf>
    <xf numFmtId="0" fontId="0" fillId="3" borderId="4" xfId="0" applyFill="1" applyBorder="1"/>
    <xf numFmtId="0" fontId="0" fillId="3" borderId="0" xfId="0" applyFill="1" applyAlignment="1">
      <alignment horizontal="center"/>
    </xf>
    <xf numFmtId="0" fontId="0" fillId="2" borderId="4" xfId="0" applyFill="1" applyBorder="1" applyAlignment="1">
      <alignment horizontal="center"/>
    </xf>
    <xf numFmtId="0" fontId="0" fillId="3" borderId="6" xfId="0" applyFill="1" applyBorder="1" applyAlignment="1">
      <alignment horizontal="center"/>
    </xf>
    <xf numFmtId="0" fontId="0" fillId="3" borderId="7" xfId="0" applyFill="1" applyBorder="1"/>
    <xf numFmtId="0" fontId="0" fillId="3" borderId="0" xfId="0" applyFill="1" applyAlignment="1">
      <alignment vertical="center" wrapText="1"/>
    </xf>
    <xf numFmtId="0" fontId="0" fillId="2" borderId="1" xfId="0" applyFill="1" applyBorder="1" applyAlignment="1">
      <alignment horizontal="left"/>
    </xf>
    <xf numFmtId="0" fontId="0" fillId="2" borderId="0" xfId="0" applyFill="1" applyAlignment="1">
      <alignment horizontal="left"/>
    </xf>
    <xf numFmtId="0" fontId="0" fillId="3" borderId="6" xfId="0" applyFill="1" applyBorder="1"/>
    <xf numFmtId="0" fontId="0" fillId="0" borderId="1" xfId="0" applyBorder="1"/>
    <xf numFmtId="0" fontId="0" fillId="3" borderId="7" xfId="0" applyFill="1" applyBorder="1" applyAlignment="1">
      <alignment horizontal="center" vertical="center"/>
    </xf>
    <xf numFmtId="0" fontId="0" fillId="2" borderId="5" xfId="0" applyFill="1" applyBorder="1"/>
    <xf numFmtId="1" fontId="0" fillId="2" borderId="0" xfId="0" applyNumberFormat="1" applyFill="1"/>
    <xf numFmtId="0" fontId="0" fillId="3" borderId="8" xfId="0" applyFill="1" applyBorder="1" applyAlignment="1">
      <alignment horizontal="center" vertical="center" wrapText="1"/>
    </xf>
    <xf numFmtId="0" fontId="0" fillId="3" borderId="8" xfId="0" applyFill="1" applyBorder="1" applyAlignment="1">
      <alignment horizont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center" vertical="center"/>
    </xf>
    <xf numFmtId="0" fontId="0" fillId="2" borderId="1" xfId="0" applyFill="1" applyBorder="1" applyAlignment="1">
      <alignment horizontal="center" vertical="center" wrapText="1"/>
    </xf>
    <xf numFmtId="0" fontId="0" fillId="2" borderId="2" xfId="0" applyFill="1" applyBorder="1" applyAlignment="1">
      <alignment horizontal="left"/>
    </xf>
    <xf numFmtId="0" fontId="0" fillId="0" borderId="0" xfId="0" applyAlignment="1" applyProtection="1">
      <alignment horizontal="center"/>
      <protection locked="0"/>
    </xf>
    <xf numFmtId="0" fontId="3" fillId="2" borderId="9"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0" xfId="0" applyFont="1" applyFill="1" applyBorder="1" applyAlignment="1">
      <alignment horizontal="center" vertical="center"/>
    </xf>
    <xf numFmtId="0" fontId="0" fillId="3" borderId="11" xfId="0" applyFill="1" applyBorder="1"/>
    <xf numFmtId="0" fontId="0" fillId="3" borderId="13" xfId="0" applyFill="1" applyBorder="1"/>
    <xf numFmtId="0" fontId="7" fillId="3" borderId="0" xfId="0" applyFont="1" applyFill="1" applyAlignment="1">
      <alignment horizontal="center" vertical="center"/>
    </xf>
    <xf numFmtId="49" fontId="0" fillId="3" borderId="0" xfId="0" applyNumberFormat="1" applyFill="1" applyAlignment="1" applyProtection="1">
      <alignment horizontal="left"/>
      <protection locked="0"/>
    </xf>
    <xf numFmtId="0" fontId="0" fillId="3" borderId="8" xfId="0" applyFill="1" applyBorder="1" applyAlignment="1" applyProtection="1">
      <alignment horizontal="center" vertical="center" wrapText="1"/>
      <protection locked="0"/>
    </xf>
    <xf numFmtId="0" fontId="0" fillId="3" borderId="0" xfId="0" applyFill="1" applyAlignment="1" applyProtection="1">
      <alignment horizontal="center" vertical="center" wrapText="1"/>
      <protection locked="0"/>
    </xf>
    <xf numFmtId="0" fontId="0" fillId="3" borderId="13" xfId="0" applyFill="1" applyBorder="1" applyAlignment="1">
      <alignment horizontal="center" vertical="center" wrapText="1"/>
    </xf>
    <xf numFmtId="0" fontId="0" fillId="0" borderId="14" xfId="0" applyBorder="1" applyAlignment="1">
      <alignment horizontal="center" vertical="center"/>
    </xf>
    <xf numFmtId="0" fontId="0" fillId="0" borderId="15" xfId="0" applyBorder="1" applyAlignment="1">
      <alignment horizontal="center" vertical="center"/>
    </xf>
    <xf numFmtId="0" fontId="0" fillId="0" borderId="11" xfId="0" applyBorder="1" applyAlignment="1">
      <alignment vertical="center"/>
    </xf>
    <xf numFmtId="0" fontId="0" fillId="0" borderId="7" xfId="0" applyBorder="1" applyAlignment="1">
      <alignment vertical="center"/>
    </xf>
    <xf numFmtId="0" fontId="0" fillId="0" borderId="1" xfId="0" applyBorder="1" applyAlignment="1">
      <alignment vertical="center"/>
    </xf>
    <xf numFmtId="0" fontId="9" fillId="2" borderId="14" xfId="0" applyFont="1" applyFill="1" applyBorder="1" applyAlignment="1">
      <alignment horizontal="center" vertical="center" wrapText="1"/>
    </xf>
    <xf numFmtId="0" fontId="0" fillId="0" borderId="0" xfId="0" applyAlignment="1">
      <alignment vertical="center" wrapText="1"/>
    </xf>
    <xf numFmtId="0" fontId="0" fillId="3" borderId="13" xfId="0" applyFill="1" applyBorder="1" applyAlignment="1">
      <alignment horizontal="center" vertical="center"/>
    </xf>
    <xf numFmtId="0" fontId="9" fillId="2" borderId="10"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3" borderId="17" xfId="0" applyFont="1" applyFill="1" applyBorder="1"/>
    <xf numFmtId="0" fontId="9" fillId="3" borderId="0" xfId="0" applyFont="1" applyFill="1"/>
    <xf numFmtId="0" fontId="9" fillId="2" borderId="18" xfId="0" applyFont="1" applyFill="1" applyBorder="1" applyAlignment="1">
      <alignment horizontal="center" vertical="center" wrapText="1"/>
    </xf>
    <xf numFmtId="0" fontId="6" fillId="0" borderId="0" xfId="0" applyFont="1" applyAlignment="1">
      <alignment horizontal="center" vertical="center"/>
    </xf>
    <xf numFmtId="0" fontId="8" fillId="0" borderId="0" xfId="0" applyFont="1" applyAlignment="1" applyProtection="1">
      <alignment horizontal="center" vertical="center"/>
      <protection locked="0"/>
    </xf>
    <xf numFmtId="16" fontId="8" fillId="0" borderId="0" xfId="0" applyNumberFormat="1" applyFont="1" applyAlignment="1">
      <alignment horizontal="center" vertical="center"/>
    </xf>
    <xf numFmtId="0" fontId="8" fillId="0" borderId="0" xfId="0" applyFont="1" applyAlignment="1">
      <alignment horizontal="center" vertical="center"/>
    </xf>
    <xf numFmtId="0" fontId="8" fillId="2" borderId="19"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5" xfId="0" applyFont="1" applyFill="1" applyBorder="1" applyAlignment="1">
      <alignment horizontal="center" vertical="center" wrapText="1"/>
    </xf>
    <xf numFmtId="0" fontId="10" fillId="3" borderId="0" xfId="0" applyFont="1" applyFill="1"/>
    <xf numFmtId="0" fontId="8" fillId="2" borderId="23" xfId="0" applyFont="1" applyFill="1" applyBorder="1" applyAlignment="1">
      <alignment horizontal="center" vertical="center"/>
    </xf>
    <xf numFmtId="0" fontId="8" fillId="2" borderId="25" xfId="0" applyFont="1" applyFill="1" applyBorder="1" applyAlignment="1">
      <alignment horizontal="center" vertical="center"/>
    </xf>
    <xf numFmtId="0" fontId="8" fillId="3" borderId="0" xfId="0" applyFont="1" applyFill="1" applyAlignment="1">
      <alignment horizontal="center" vertical="center" wrapText="1"/>
    </xf>
    <xf numFmtId="0" fontId="8" fillId="2" borderId="24" xfId="0" applyFont="1" applyFill="1" applyBorder="1" applyAlignment="1">
      <alignment horizontal="center" vertical="center"/>
    </xf>
    <xf numFmtId="0" fontId="8" fillId="3" borderId="0" xfId="0" applyFont="1" applyFill="1" applyAlignment="1">
      <alignment horizontal="center" vertical="center"/>
    </xf>
    <xf numFmtId="0" fontId="8" fillId="3" borderId="6" xfId="0" applyFont="1" applyFill="1" applyBorder="1" applyAlignment="1">
      <alignment horizontal="center" vertical="center"/>
    </xf>
    <xf numFmtId="0" fontId="8" fillId="2" borderId="26" xfId="0" applyFont="1" applyFill="1" applyBorder="1" applyAlignment="1">
      <alignment horizontal="center" vertical="center" wrapText="1"/>
    </xf>
    <xf numFmtId="0" fontId="8" fillId="2" borderId="22" xfId="0" applyFont="1" applyFill="1" applyBorder="1" applyAlignment="1">
      <alignment horizontal="center" vertical="center"/>
    </xf>
    <xf numFmtId="0" fontId="11" fillId="2" borderId="14"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4" borderId="14"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1" fillId="4" borderId="27" xfId="0" applyFont="1" applyFill="1" applyBorder="1" applyAlignment="1">
      <alignment horizontal="center" vertical="center" wrapText="1"/>
    </xf>
    <xf numFmtId="0" fontId="8" fillId="2" borderId="20" xfId="0" applyFont="1" applyFill="1" applyBorder="1" applyAlignment="1">
      <alignment horizontal="center" vertical="center"/>
    </xf>
    <xf numFmtId="0" fontId="8" fillId="2" borderId="21" xfId="0" applyFont="1" applyFill="1" applyBorder="1" applyAlignment="1">
      <alignment horizontal="center" vertical="center"/>
    </xf>
    <xf numFmtId="0" fontId="8" fillId="3" borderId="6"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8" fillId="3" borderId="30"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0" xfId="0" applyFont="1" applyFill="1" applyAlignment="1" applyProtection="1">
      <alignment horizontal="center" vertical="center" wrapText="1"/>
      <protection locked="0"/>
    </xf>
    <xf numFmtId="0" fontId="8" fillId="3" borderId="0" xfId="0" applyFont="1" applyFill="1" applyAlignment="1" applyProtection="1">
      <alignment horizontal="center" vertical="center" wrapText="1"/>
      <protection hidden="1"/>
    </xf>
    <xf numFmtId="0" fontId="8" fillId="5" borderId="14" xfId="0" applyFont="1" applyFill="1" applyBorder="1" applyAlignment="1">
      <alignment horizontal="center" vertical="center"/>
    </xf>
    <xf numFmtId="0" fontId="8" fillId="2" borderId="10" xfId="0" applyFont="1" applyFill="1" applyBorder="1" applyAlignment="1">
      <alignment horizontal="center" vertical="center" wrapText="1"/>
    </xf>
    <xf numFmtId="0" fontId="8" fillId="5" borderId="18" xfId="0" applyFont="1" applyFill="1" applyBorder="1" applyAlignment="1">
      <alignment horizontal="center" vertical="center"/>
    </xf>
    <xf numFmtId="0" fontId="8" fillId="5" borderId="31" xfId="0" applyFont="1" applyFill="1" applyBorder="1" applyAlignment="1">
      <alignment horizontal="center" vertical="center"/>
    </xf>
    <xf numFmtId="0" fontId="9" fillId="3" borderId="0" xfId="0" applyFont="1" applyFill="1" applyAlignment="1">
      <alignment horizontal="center"/>
    </xf>
    <xf numFmtId="0" fontId="8" fillId="5" borderId="32" xfId="0" applyFont="1" applyFill="1" applyBorder="1" applyAlignment="1">
      <alignment horizontal="center" vertical="center"/>
    </xf>
    <xf numFmtId="0" fontId="9" fillId="2" borderId="33" xfId="0" applyFont="1" applyFill="1" applyBorder="1" applyAlignment="1">
      <alignment horizontal="center" vertical="center"/>
    </xf>
    <xf numFmtId="0" fontId="9" fillId="2" borderId="16" xfId="0" applyFont="1" applyFill="1" applyBorder="1" applyAlignment="1">
      <alignment horizontal="center" vertical="center"/>
    </xf>
    <xf numFmtId="0" fontId="8" fillId="2" borderId="13" xfId="0" applyFont="1" applyFill="1" applyBorder="1" applyAlignment="1">
      <alignment horizontal="center" vertical="center"/>
    </xf>
    <xf numFmtId="0" fontId="8" fillId="2" borderId="16" xfId="0" applyFont="1" applyFill="1" applyBorder="1" applyAlignment="1">
      <alignment horizontal="center" vertical="center" wrapText="1"/>
    </xf>
    <xf numFmtId="0" fontId="8" fillId="3" borderId="8" xfId="0" applyFont="1" applyFill="1" applyBorder="1" applyAlignment="1">
      <alignment horizontal="center" vertical="center"/>
    </xf>
    <xf numFmtId="0" fontId="13" fillId="2" borderId="14" xfId="0" applyFont="1" applyFill="1" applyBorder="1" applyAlignment="1">
      <alignment horizontal="center" vertical="center" wrapText="1"/>
    </xf>
    <xf numFmtId="0" fontId="13" fillId="2" borderId="18" xfId="0" applyFont="1" applyFill="1" applyBorder="1" applyAlignment="1">
      <alignment horizontal="center" vertical="center" wrapText="1"/>
    </xf>
    <xf numFmtId="0" fontId="14" fillId="2" borderId="14" xfId="0" applyFont="1" applyFill="1" applyBorder="1" applyAlignment="1">
      <alignment horizontal="center" vertical="center"/>
    </xf>
    <xf numFmtId="0" fontId="14" fillId="2" borderId="21" xfId="0" applyFont="1" applyFill="1" applyBorder="1" applyAlignment="1">
      <alignment horizontal="center" vertical="center"/>
    </xf>
    <xf numFmtId="0" fontId="13" fillId="3" borderId="30" xfId="0" applyFont="1" applyFill="1" applyBorder="1"/>
    <xf numFmtId="0" fontId="13" fillId="3" borderId="6" xfId="0" applyFont="1" applyFill="1" applyBorder="1"/>
    <xf numFmtId="0" fontId="13" fillId="3" borderId="6" xfId="0" applyFont="1" applyFill="1" applyBorder="1" applyAlignment="1">
      <alignment horizontal="center" vertical="center" wrapText="1"/>
    </xf>
    <xf numFmtId="0" fontId="13" fillId="3" borderId="6" xfId="0" applyFont="1" applyFill="1" applyBorder="1" applyAlignment="1">
      <alignment horizontal="center" vertical="center"/>
    </xf>
    <xf numFmtId="0" fontId="13" fillId="3" borderId="0" xfId="0" applyFont="1" applyFill="1" applyAlignment="1">
      <alignment horizontal="center" vertical="center"/>
    </xf>
    <xf numFmtId="0" fontId="15" fillId="2" borderId="14" xfId="0" applyFont="1" applyFill="1" applyBorder="1" applyAlignment="1">
      <alignment horizontal="center" vertical="center"/>
    </xf>
    <xf numFmtId="0" fontId="15" fillId="2" borderId="21" xfId="0" applyFont="1" applyFill="1" applyBorder="1" applyAlignment="1">
      <alignment horizontal="center" vertical="center"/>
    </xf>
    <xf numFmtId="0" fontId="9" fillId="2" borderId="17"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13" fillId="2" borderId="14" xfId="0" applyFont="1" applyFill="1" applyBorder="1" applyAlignment="1">
      <alignment horizontal="center"/>
    </xf>
    <xf numFmtId="0" fontId="13" fillId="2" borderId="18" xfId="0" applyFont="1" applyFill="1" applyBorder="1" applyAlignment="1">
      <alignment horizontal="center"/>
    </xf>
    <xf numFmtId="0" fontId="8" fillId="2" borderId="35" xfId="0" applyFont="1" applyFill="1" applyBorder="1" applyAlignment="1">
      <alignment horizontal="center" vertical="center"/>
    </xf>
    <xf numFmtId="0" fontId="8" fillId="3" borderId="6" xfId="0" applyFont="1" applyFill="1" applyBorder="1"/>
    <xf numFmtId="0" fontId="8" fillId="3" borderId="6" xfId="0" applyFont="1" applyFill="1" applyBorder="1" applyAlignment="1">
      <alignment horizontal="center"/>
    </xf>
    <xf numFmtId="0" fontId="8" fillId="2" borderId="36" xfId="0" applyFont="1" applyFill="1" applyBorder="1" applyAlignment="1">
      <alignment horizontal="center" vertical="center"/>
    </xf>
    <xf numFmtId="0" fontId="8" fillId="3" borderId="0" xfId="0" applyFont="1" applyFill="1" applyAlignment="1">
      <alignment horizontal="center"/>
    </xf>
    <xf numFmtId="0" fontId="0" fillId="0" borderId="37" xfId="0" applyBorder="1"/>
    <xf numFmtId="0" fontId="0" fillId="0" borderId="38" xfId="0" applyBorder="1" applyAlignment="1">
      <alignment horizontal="center" vertical="center"/>
    </xf>
    <xf numFmtId="0" fontId="0" fillId="0" borderId="39" xfId="0" applyBorder="1" applyAlignment="1">
      <alignment horizontal="center" vertical="center"/>
    </xf>
    <xf numFmtId="0" fontId="8" fillId="0" borderId="38" xfId="0" applyFont="1" applyBorder="1" applyAlignment="1">
      <alignment horizontal="center" vertical="center"/>
    </xf>
    <xf numFmtId="0" fontId="8" fillId="0" borderId="40" xfId="0" applyFont="1" applyBorder="1" applyAlignment="1">
      <alignment horizontal="center" vertical="center"/>
    </xf>
    <xf numFmtId="0" fontId="0" fillId="0" borderId="40" xfId="0" applyBorder="1" applyAlignment="1">
      <alignment horizontal="center" vertical="center" wrapText="1"/>
    </xf>
    <xf numFmtId="0" fontId="0" fillId="0" borderId="41" xfId="0" applyBorder="1" applyAlignment="1">
      <alignment horizontal="center" vertical="center" wrapText="1"/>
    </xf>
    <xf numFmtId="0" fontId="0" fillId="2" borderId="3" xfId="0" applyFill="1" applyBorder="1" applyAlignment="1">
      <alignment horizontal="center" vertical="center"/>
    </xf>
    <xf numFmtId="0" fontId="0" fillId="0" borderId="42" xfId="0" applyBorder="1"/>
    <xf numFmtId="0" fontId="0" fillId="0" borderId="37" xfId="0" applyBorder="1" applyAlignment="1">
      <alignment horizontal="left" vertical="top"/>
    </xf>
    <xf numFmtId="0" fontId="0" fillId="0" borderId="2" xfId="0" applyBorder="1"/>
    <xf numFmtId="0" fontId="0" fillId="0" borderId="3" xfId="0" applyBorder="1"/>
    <xf numFmtId="0" fontId="0" fillId="0" borderId="4" xfId="0" applyBorder="1"/>
    <xf numFmtId="0" fontId="0" fillId="0" borderId="5" xfId="0" applyBorder="1"/>
    <xf numFmtId="0" fontId="8" fillId="0" borderId="0" xfId="0" applyFont="1" applyAlignment="1">
      <alignment horizontal="center"/>
    </xf>
    <xf numFmtId="0" fontId="8" fillId="2" borderId="43" xfId="0" applyFont="1" applyFill="1" applyBorder="1" applyAlignment="1">
      <alignment horizontal="center" vertical="center"/>
    </xf>
    <xf numFmtId="0" fontId="8" fillId="2" borderId="44" xfId="0" applyFont="1" applyFill="1" applyBorder="1" applyAlignment="1">
      <alignment horizontal="center" vertical="center" wrapText="1"/>
    </xf>
    <xf numFmtId="0" fontId="8" fillId="0" borderId="0" xfId="0" applyFont="1" applyAlignment="1">
      <alignment horizontal="center" vertical="center" wrapText="1"/>
    </xf>
    <xf numFmtId="0" fontId="10" fillId="0" borderId="0" xfId="0" applyFont="1"/>
    <xf numFmtId="0" fontId="9" fillId="0" borderId="0" xfId="0" applyFont="1" applyAlignment="1">
      <alignment horizontal="center"/>
    </xf>
    <xf numFmtId="0" fontId="0" fillId="3" borderId="4" xfId="0" applyFill="1" applyBorder="1" applyAlignment="1">
      <alignment horizontal="center"/>
    </xf>
    <xf numFmtId="0" fontId="0" fillId="2" borderId="4" xfId="0" applyFill="1" applyBorder="1" applyAlignment="1">
      <alignment horizontal="center" vertical="center"/>
    </xf>
    <xf numFmtId="0" fontId="18" fillId="0" borderId="0" xfId="0" applyFont="1" applyAlignment="1">
      <alignment horizontal="center" vertical="center"/>
    </xf>
    <xf numFmtId="0" fontId="1" fillId="2" borderId="1" xfId="0" applyFont="1" applyFill="1" applyBorder="1"/>
    <xf numFmtId="0" fontId="1" fillId="2" borderId="2" xfId="0" applyFont="1" applyFill="1" applyBorder="1" applyAlignment="1">
      <alignment horizontal="center" wrapText="1"/>
    </xf>
    <xf numFmtId="0" fontId="1" fillId="2" borderId="2" xfId="0" applyFont="1" applyFill="1" applyBorder="1" applyAlignment="1">
      <alignment wrapText="1"/>
    </xf>
    <xf numFmtId="0" fontId="0" fillId="0" borderId="0" xfId="0" applyAlignment="1">
      <alignment horizontal="center" vertical="center"/>
    </xf>
    <xf numFmtId="0" fontId="8" fillId="2" borderId="18" xfId="0" applyFont="1" applyFill="1" applyBorder="1" applyAlignment="1">
      <alignment horizontal="center" vertical="center"/>
    </xf>
    <xf numFmtId="0" fontId="1" fillId="0" borderId="40" xfId="0" applyFont="1" applyBorder="1" applyAlignment="1">
      <alignment horizontal="center" vertical="center" wrapText="1"/>
    </xf>
    <xf numFmtId="0" fontId="8" fillId="2" borderId="44" xfId="0" applyFont="1" applyFill="1" applyBorder="1" applyAlignment="1">
      <alignment horizontal="center" vertical="center"/>
    </xf>
    <xf numFmtId="0" fontId="8" fillId="5" borderId="16" xfId="0" applyFont="1" applyFill="1" applyBorder="1" applyAlignment="1">
      <alignment horizontal="center" vertical="center"/>
    </xf>
    <xf numFmtId="0" fontId="6" fillId="0" borderId="0" xfId="0" applyFont="1" applyAlignment="1">
      <alignment vertical="top" wrapText="1"/>
    </xf>
    <xf numFmtId="0" fontId="10" fillId="0" borderId="0" xfId="0" applyFont="1" applyAlignment="1">
      <alignment vertical="center" wrapText="1"/>
    </xf>
    <xf numFmtId="0" fontId="0" fillId="0" borderId="45" xfId="0" applyBorder="1" applyAlignment="1">
      <alignment vertical="center"/>
    </xf>
    <xf numFmtId="0" fontId="0" fillId="0" borderId="46" xfId="0" applyBorder="1" applyAlignment="1">
      <alignment horizontal="center" vertical="center"/>
    </xf>
    <xf numFmtId="0" fontId="11" fillId="0" borderId="0" xfId="0" applyFont="1" applyAlignment="1" applyProtection="1">
      <alignment horizontal="center" vertical="center"/>
      <protection locked="0"/>
    </xf>
    <xf numFmtId="0" fontId="0" fillId="5" borderId="0" xfId="0" applyFill="1"/>
    <xf numFmtId="0" fontId="1" fillId="5" borderId="46" xfId="0" applyFont="1" applyFill="1" applyBorder="1" applyAlignment="1">
      <alignment horizontal="center" vertical="center" wrapText="1"/>
    </xf>
    <xf numFmtId="0" fontId="0" fillId="0" borderId="47" xfId="0" applyBorder="1" applyAlignment="1" applyProtection="1">
      <alignment horizontal="center" vertical="center"/>
      <protection locked="0"/>
    </xf>
    <xf numFmtId="0" fontId="0" fillId="0" borderId="9" xfId="0" applyBorder="1" applyAlignment="1" applyProtection="1">
      <alignment horizontal="center" vertical="center"/>
      <protection locked="0"/>
    </xf>
    <xf numFmtId="0" fontId="0" fillId="5" borderId="14" xfId="0" applyFill="1" applyBorder="1" applyAlignment="1">
      <alignment horizontal="center" vertical="center"/>
    </xf>
    <xf numFmtId="0" fontId="0" fillId="5" borderId="48" xfId="0" applyFill="1" applyBorder="1" applyAlignment="1">
      <alignment horizontal="center" vertical="center"/>
    </xf>
    <xf numFmtId="0" fontId="0" fillId="5" borderId="49" xfId="0" applyFill="1" applyBorder="1" applyAlignment="1">
      <alignment horizontal="center" vertical="center"/>
    </xf>
    <xf numFmtId="0" fontId="0" fillId="0" borderId="49" xfId="0" applyBorder="1" applyAlignment="1" applyProtection="1">
      <alignment horizontal="center" vertical="center"/>
      <protection locked="0"/>
    </xf>
    <xf numFmtId="0" fontId="0" fillId="0" borderId="14" xfId="0" applyBorder="1" applyAlignment="1" applyProtection="1">
      <alignment horizontal="center" vertical="center"/>
      <protection locked="0"/>
    </xf>
    <xf numFmtId="0" fontId="0" fillId="0" borderId="50" xfId="0" applyBorder="1" applyAlignment="1" applyProtection="1">
      <alignment horizontal="center" vertical="center"/>
      <protection locked="0"/>
    </xf>
    <xf numFmtId="0" fontId="0" fillId="0" borderId="51" xfId="0" applyBorder="1" applyAlignment="1" applyProtection="1">
      <alignment horizontal="center" vertical="center"/>
      <protection locked="0"/>
    </xf>
    <xf numFmtId="16" fontId="0" fillId="2" borderId="14" xfId="0" applyNumberFormat="1" applyFill="1" applyBorder="1"/>
    <xf numFmtId="0" fontId="0" fillId="2" borderId="40" xfId="0" applyFill="1" applyBorder="1"/>
    <xf numFmtId="0" fontId="0" fillId="2" borderId="38" xfId="0" applyFill="1" applyBorder="1" applyAlignment="1">
      <alignment horizontal="left"/>
    </xf>
    <xf numFmtId="0" fontId="0" fillId="2" borderId="14" xfId="0" applyFill="1" applyBorder="1" applyAlignment="1">
      <alignment horizontal="left"/>
    </xf>
    <xf numFmtId="0" fontId="0" fillId="2" borderId="14" xfId="0" applyFill="1" applyBorder="1" applyAlignment="1">
      <alignment horizontal="center"/>
    </xf>
    <xf numFmtId="0" fontId="0" fillId="2" borderId="40" xfId="0" applyFill="1" applyBorder="1" applyAlignment="1">
      <alignment horizontal="center"/>
    </xf>
    <xf numFmtId="0" fontId="0" fillId="2" borderId="14" xfId="0" applyFill="1" applyBorder="1"/>
    <xf numFmtId="0" fontId="0" fillId="2" borderId="40" xfId="0" applyFill="1" applyBorder="1" applyAlignment="1">
      <alignment horizontal="center" vertical="center" wrapText="1"/>
    </xf>
    <xf numFmtId="0" fontId="0" fillId="2" borderId="52" xfId="0" applyFill="1" applyBorder="1" applyAlignment="1">
      <alignment horizontal="center" vertical="center" wrapText="1"/>
    </xf>
    <xf numFmtId="0" fontId="9" fillId="3" borderId="30" xfId="0" applyFont="1" applyFill="1" applyBorder="1" applyAlignment="1">
      <alignment horizontal="center" vertical="center"/>
    </xf>
    <xf numFmtId="0" fontId="8" fillId="0" borderId="0" xfId="0" applyFont="1" applyAlignment="1">
      <alignment vertical="center"/>
    </xf>
    <xf numFmtId="0" fontId="10" fillId="0" borderId="0" xfId="0" applyFont="1" applyAlignment="1">
      <alignment vertical="center"/>
    </xf>
    <xf numFmtId="0" fontId="1" fillId="0" borderId="0" xfId="0" applyFont="1" applyAlignment="1">
      <alignment vertical="center" wrapText="1"/>
    </xf>
    <xf numFmtId="0" fontId="0" fillId="2" borderId="31" xfId="0" applyFill="1" applyBorder="1" applyAlignment="1">
      <alignment horizontal="center" vertical="center" wrapText="1"/>
    </xf>
    <xf numFmtId="0" fontId="0" fillId="2" borderId="18" xfId="0" applyFill="1" applyBorder="1" applyAlignment="1">
      <alignment horizontal="center" vertical="center" wrapText="1"/>
    </xf>
    <xf numFmtId="0" fontId="0" fillId="0" borderId="1" xfId="0" applyBorder="1" applyAlignment="1">
      <alignment horizontal="center"/>
    </xf>
    <xf numFmtId="0" fontId="1" fillId="0" borderId="0" xfId="0" applyFont="1"/>
    <xf numFmtId="0" fontId="1" fillId="0" borderId="38" xfId="0" applyFont="1" applyBorder="1" applyAlignment="1">
      <alignment horizontal="center" vertical="center"/>
    </xf>
    <xf numFmtId="0" fontId="1" fillId="0" borderId="0" xfId="0" applyFont="1" applyAlignment="1">
      <alignment vertical="center"/>
    </xf>
    <xf numFmtId="0" fontId="19" fillId="0" borderId="0" xfId="0" applyFont="1" applyAlignment="1">
      <alignment vertical="center"/>
    </xf>
    <xf numFmtId="0" fontId="0" fillId="0" borderId="42" xfId="0" applyBorder="1" applyAlignment="1">
      <alignment horizontal="center" vertical="center"/>
    </xf>
    <xf numFmtId="0" fontId="1" fillId="0" borderId="14" xfId="0" applyFont="1" applyBorder="1" applyAlignment="1">
      <alignment horizontal="center" vertical="center"/>
    </xf>
    <xf numFmtId="0" fontId="8" fillId="8" borderId="24" xfId="0" applyFont="1" applyFill="1" applyBorder="1" applyAlignment="1" applyProtection="1">
      <alignment horizontal="center" vertical="center" wrapText="1"/>
      <protection locked="0"/>
    </xf>
    <xf numFmtId="0" fontId="8" fillId="8" borderId="14" xfId="0" applyFont="1" applyFill="1" applyBorder="1" applyAlignment="1" applyProtection="1">
      <alignment horizontal="center" vertical="center" wrapText="1"/>
      <protection locked="0"/>
    </xf>
    <xf numFmtId="0" fontId="8" fillId="8" borderId="18" xfId="0" applyFont="1" applyFill="1" applyBorder="1" applyAlignment="1" applyProtection="1">
      <alignment horizontal="center" vertical="center" wrapText="1"/>
      <protection locked="0"/>
    </xf>
    <xf numFmtId="0" fontId="8" fillId="8" borderId="21" xfId="0" applyFont="1" applyFill="1" applyBorder="1" applyAlignment="1" applyProtection="1">
      <alignment horizontal="center" vertical="center" wrapText="1"/>
      <protection locked="0"/>
    </xf>
    <xf numFmtId="0" fontId="8" fillId="8" borderId="25" xfId="0" applyFont="1" applyFill="1" applyBorder="1" applyAlignment="1" applyProtection="1">
      <alignment horizontal="center" vertical="center" wrapText="1"/>
      <protection locked="0"/>
    </xf>
    <xf numFmtId="0" fontId="8" fillId="8" borderId="32" xfId="0" applyFont="1" applyFill="1" applyBorder="1" applyAlignment="1" applyProtection="1">
      <alignment horizontal="center" vertical="center" wrapText="1"/>
      <protection locked="0"/>
    </xf>
    <xf numFmtId="0" fontId="8" fillId="8" borderId="27" xfId="0" applyFont="1" applyFill="1" applyBorder="1" applyAlignment="1" applyProtection="1">
      <alignment horizontal="center" vertical="center" wrapText="1"/>
      <protection locked="0"/>
    </xf>
    <xf numFmtId="0" fontId="0" fillId="8" borderId="21" xfId="0" applyFill="1" applyBorder="1" applyProtection="1">
      <protection locked="0"/>
    </xf>
    <xf numFmtId="0" fontId="8" fillId="8" borderId="43" xfId="0" applyFont="1" applyFill="1" applyBorder="1" applyAlignment="1" applyProtection="1">
      <alignment horizontal="center" vertical="center" wrapText="1"/>
      <protection locked="0"/>
    </xf>
    <xf numFmtId="0" fontId="8" fillId="8" borderId="31" xfId="0" applyFont="1" applyFill="1" applyBorder="1" applyAlignment="1" applyProtection="1">
      <alignment horizontal="center" vertical="center" wrapText="1"/>
      <protection locked="0"/>
    </xf>
    <xf numFmtId="0" fontId="8" fillId="8" borderId="55" xfId="0" applyFont="1" applyFill="1" applyBorder="1" applyAlignment="1" applyProtection="1">
      <alignment horizontal="center" vertical="center" wrapText="1"/>
      <protection locked="0"/>
    </xf>
    <xf numFmtId="0" fontId="8" fillId="8" borderId="56" xfId="0" applyFont="1" applyFill="1" applyBorder="1" applyAlignment="1" applyProtection="1">
      <alignment horizontal="center" vertical="center" wrapText="1"/>
      <protection locked="0"/>
    </xf>
    <xf numFmtId="0" fontId="0" fillId="8" borderId="22" xfId="0" applyFill="1" applyBorder="1" applyProtection="1">
      <protection locked="0"/>
    </xf>
    <xf numFmtId="0" fontId="8" fillId="8" borderId="57" xfId="0" applyFont="1" applyFill="1" applyBorder="1" applyAlignment="1" applyProtection="1">
      <alignment horizontal="center" vertical="center" wrapText="1"/>
      <protection locked="0"/>
    </xf>
    <xf numFmtId="0" fontId="8" fillId="8" borderId="58" xfId="0" applyFont="1" applyFill="1" applyBorder="1" applyAlignment="1" applyProtection="1">
      <alignment horizontal="center" vertical="center" wrapText="1"/>
      <protection locked="0"/>
    </xf>
    <xf numFmtId="0" fontId="8" fillId="8" borderId="59" xfId="0" applyFont="1" applyFill="1" applyBorder="1" applyAlignment="1" applyProtection="1">
      <alignment horizontal="center" vertical="center" wrapText="1"/>
      <protection locked="0"/>
    </xf>
    <xf numFmtId="0" fontId="20" fillId="0" borderId="0" xfId="0" applyFont="1" applyAlignment="1">
      <alignment vertical="center" wrapText="1"/>
    </xf>
    <xf numFmtId="0" fontId="8" fillId="0" borderId="0" xfId="0" applyFont="1" applyAlignment="1">
      <alignment vertical="center" wrapText="1"/>
    </xf>
    <xf numFmtId="164" fontId="8" fillId="0" borderId="14" xfId="0" applyNumberFormat="1" applyFont="1" applyBorder="1" applyAlignment="1">
      <alignment horizontal="center" vertical="center"/>
    </xf>
    <xf numFmtId="164" fontId="0" fillId="0" borderId="14" xfId="0" applyNumberFormat="1" applyBorder="1" applyAlignment="1">
      <alignment horizontal="center" vertical="center"/>
    </xf>
    <xf numFmtId="164" fontId="1" fillId="0" borderId="14" xfId="0" applyNumberFormat="1" applyFont="1" applyBorder="1" applyAlignment="1">
      <alignment horizontal="center" vertical="center"/>
    </xf>
    <xf numFmtId="164" fontId="0" fillId="0" borderId="15" xfId="0" applyNumberFormat="1" applyBorder="1" applyAlignment="1">
      <alignment horizontal="center" vertical="center"/>
    </xf>
    <xf numFmtId="164" fontId="0" fillId="0" borderId="0" xfId="0" applyNumberFormat="1"/>
    <xf numFmtId="0" fontId="8" fillId="8" borderId="59" xfId="0" applyFont="1" applyFill="1" applyBorder="1" applyAlignment="1" applyProtection="1">
      <alignment vertical="center" wrapText="1"/>
      <protection locked="0"/>
    </xf>
    <xf numFmtId="0" fontId="0" fillId="8" borderId="46" xfId="0" applyFill="1" applyBorder="1" applyAlignment="1" applyProtection="1">
      <alignment horizontal="center" vertical="center"/>
      <protection locked="0"/>
    </xf>
    <xf numFmtId="0" fontId="0" fillId="9" borderId="46" xfId="0" applyFill="1" applyBorder="1" applyAlignment="1">
      <alignment horizontal="center" vertical="center"/>
    </xf>
    <xf numFmtId="0" fontId="1" fillId="0" borderId="0" xfId="1"/>
    <xf numFmtId="0" fontId="1" fillId="0" borderId="0" xfId="1" applyAlignment="1">
      <alignment vertical="center" wrapText="1"/>
    </xf>
    <xf numFmtId="0" fontId="1" fillId="9" borderId="46" xfId="1" applyFill="1" applyBorder="1" applyAlignment="1">
      <alignment horizontal="center" vertical="center"/>
    </xf>
    <xf numFmtId="0" fontId="1" fillId="0" borderId="0" xfId="1" applyAlignment="1">
      <alignment horizontal="center" vertical="center"/>
    </xf>
    <xf numFmtId="0" fontId="1" fillId="0" borderId="0" xfId="1" applyAlignment="1">
      <alignment vertical="center"/>
    </xf>
    <xf numFmtId="0" fontId="1" fillId="9" borderId="60" xfId="1" applyFill="1" applyBorder="1" applyAlignment="1">
      <alignment horizontal="center" vertical="center"/>
    </xf>
    <xf numFmtId="0" fontId="1" fillId="9" borderId="61" xfId="1" applyFill="1" applyBorder="1" applyAlignment="1">
      <alignment horizontal="left" vertical="center"/>
    </xf>
    <xf numFmtId="0" fontId="1" fillId="9" borderId="45" xfId="1" applyFill="1" applyBorder="1" applyAlignment="1">
      <alignment horizontal="center" vertical="center"/>
    </xf>
    <xf numFmtId="0" fontId="1" fillId="9" borderId="62" xfId="1" applyFill="1" applyBorder="1" applyAlignment="1">
      <alignment horizontal="center" vertical="center"/>
    </xf>
    <xf numFmtId="0" fontId="1" fillId="9" borderId="0" xfId="1" applyFill="1" applyAlignment="1">
      <alignment horizontal="center" vertical="center"/>
    </xf>
    <xf numFmtId="0" fontId="1" fillId="9" borderId="62" xfId="1" applyFill="1" applyBorder="1" applyAlignment="1">
      <alignment horizontal="left"/>
    </xf>
    <xf numFmtId="0" fontId="1" fillId="9" borderId="0" xfId="1" applyFill="1" applyAlignment="1">
      <alignment horizontal="left"/>
    </xf>
    <xf numFmtId="0" fontId="1" fillId="9" borderId="0" xfId="1" applyFill="1" applyAlignment="1">
      <alignment horizontal="left" vertical="center"/>
    </xf>
    <xf numFmtId="0" fontId="22" fillId="9" borderId="60" xfId="1" applyFont="1" applyFill="1" applyBorder="1" applyAlignment="1">
      <alignment vertical="center"/>
    </xf>
    <xf numFmtId="0" fontId="22" fillId="9" borderId="63" xfId="1" applyFont="1" applyFill="1" applyBorder="1" applyAlignment="1">
      <alignment vertical="center"/>
    </xf>
    <xf numFmtId="0" fontId="22" fillId="9" borderId="64" xfId="1" applyFont="1" applyFill="1" applyBorder="1" applyAlignment="1">
      <alignment vertical="center"/>
    </xf>
    <xf numFmtId="0" fontId="22" fillId="9" borderId="61" xfId="1" applyFont="1" applyFill="1" applyBorder="1" applyAlignment="1">
      <alignment vertical="center"/>
    </xf>
    <xf numFmtId="0" fontId="22" fillId="9" borderId="45" xfId="1" applyFont="1" applyFill="1" applyBorder="1" applyAlignment="1">
      <alignment vertical="center"/>
    </xf>
    <xf numFmtId="0" fontId="22" fillId="9" borderId="0" xfId="1" applyFont="1" applyFill="1" applyAlignment="1">
      <alignment vertical="center"/>
    </xf>
    <xf numFmtId="0" fontId="1" fillId="9" borderId="65" xfId="1" applyFill="1" applyBorder="1"/>
    <xf numFmtId="0" fontId="1" fillId="9" borderId="62" xfId="1" applyFill="1" applyBorder="1"/>
    <xf numFmtId="0" fontId="22" fillId="9" borderId="66" xfId="1" applyFont="1" applyFill="1" applyBorder="1" applyAlignment="1">
      <alignment vertical="center"/>
    </xf>
    <xf numFmtId="0" fontId="22" fillId="9" borderId="67" xfId="1" applyFont="1" applyFill="1" applyBorder="1" applyAlignment="1">
      <alignment vertical="center"/>
    </xf>
    <xf numFmtId="0" fontId="1" fillId="9" borderId="68" xfId="1" applyFill="1" applyBorder="1"/>
    <xf numFmtId="0" fontId="10" fillId="6" borderId="69" xfId="0" applyFont="1" applyFill="1" applyBorder="1" applyAlignment="1">
      <alignment horizontal="left" vertical="top" wrapText="1"/>
    </xf>
    <xf numFmtId="0" fontId="1" fillId="9" borderId="70" xfId="1" applyFill="1" applyBorder="1" applyAlignment="1">
      <alignment horizontal="left"/>
    </xf>
    <xf numFmtId="0" fontId="16" fillId="0" borderId="71" xfId="1" applyFont="1" applyBorder="1" applyAlignment="1">
      <alignment vertical="center" wrapText="1"/>
    </xf>
    <xf numFmtId="1" fontId="1" fillId="0" borderId="0" xfId="1" applyNumberFormat="1" applyAlignment="1">
      <alignment vertical="center"/>
    </xf>
    <xf numFmtId="0" fontId="6" fillId="6" borderId="69" xfId="0" applyFont="1" applyFill="1" applyBorder="1" applyAlignment="1">
      <alignment horizontal="center" vertical="top"/>
    </xf>
    <xf numFmtId="0" fontId="3" fillId="2" borderId="18"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1" fillId="9" borderId="72" xfId="1" applyFill="1" applyBorder="1" applyAlignment="1">
      <alignment horizontal="left" vertical="center"/>
    </xf>
    <xf numFmtId="0" fontId="1" fillId="9" borderId="72" xfId="1" applyFill="1" applyBorder="1"/>
    <xf numFmtId="14" fontId="8" fillId="8" borderId="24" xfId="0" applyNumberFormat="1" applyFont="1" applyFill="1" applyBorder="1" applyAlignment="1" applyProtection="1">
      <alignment horizontal="center"/>
      <protection locked="0"/>
    </xf>
    <xf numFmtId="0" fontId="8" fillId="8" borderId="14" xfId="0" applyFont="1" applyFill="1" applyBorder="1" applyAlignment="1" applyProtection="1">
      <alignment horizontal="center"/>
      <protection locked="0"/>
    </xf>
    <xf numFmtId="0" fontId="8" fillId="8" borderId="24" xfId="0" applyFont="1" applyFill="1" applyBorder="1" applyAlignment="1" applyProtection="1">
      <alignment horizontal="center"/>
      <protection locked="0"/>
    </xf>
    <xf numFmtId="0" fontId="8" fillId="8" borderId="25" xfId="0" applyFont="1" applyFill="1" applyBorder="1" applyAlignment="1" applyProtection="1">
      <alignment horizontal="center"/>
      <protection locked="0"/>
    </xf>
    <xf numFmtId="0" fontId="8" fillId="8" borderId="32" xfId="0" applyFont="1" applyFill="1" applyBorder="1" applyAlignment="1" applyProtection="1">
      <alignment horizontal="center"/>
      <protection locked="0"/>
    </xf>
    <xf numFmtId="0" fontId="8" fillId="8" borderId="27" xfId="0" applyFont="1" applyFill="1" applyBorder="1" applyAlignment="1" applyProtection="1">
      <alignment horizontal="center"/>
      <protection locked="0"/>
    </xf>
    <xf numFmtId="0" fontId="8" fillId="10" borderId="14" xfId="0" applyFont="1" applyFill="1" applyBorder="1" applyAlignment="1" applyProtection="1">
      <alignment horizontal="center" vertical="center" wrapText="1"/>
      <protection locked="0"/>
    </xf>
    <xf numFmtId="0" fontId="8" fillId="10" borderId="14" xfId="0" applyFont="1" applyFill="1" applyBorder="1" applyAlignment="1">
      <alignment horizontal="center" vertical="center" wrapText="1"/>
    </xf>
    <xf numFmtId="14" fontId="13" fillId="8" borderId="24" xfId="0" applyNumberFormat="1" applyFont="1" applyFill="1" applyBorder="1" applyAlignment="1" applyProtection="1">
      <alignment horizontal="center" vertical="center" wrapText="1"/>
      <protection locked="0"/>
    </xf>
    <xf numFmtId="0" fontId="13" fillId="8" borderId="14" xfId="0" applyFont="1" applyFill="1" applyBorder="1" applyAlignment="1" applyProtection="1">
      <alignment horizontal="center" vertical="center" wrapText="1"/>
      <protection locked="0"/>
    </xf>
    <xf numFmtId="0" fontId="13" fillId="8" borderId="24" xfId="0" applyFont="1" applyFill="1" applyBorder="1" applyAlignment="1" applyProtection="1">
      <alignment horizontal="center" vertical="center" wrapText="1"/>
      <protection locked="0"/>
    </xf>
    <xf numFmtId="0" fontId="13" fillId="8" borderId="43" xfId="0" applyFont="1" applyFill="1" applyBorder="1" applyAlignment="1" applyProtection="1">
      <alignment horizontal="center" vertical="center" wrapText="1"/>
      <protection locked="0"/>
    </xf>
    <xf numFmtId="0" fontId="13" fillId="8" borderId="32" xfId="0" applyFont="1" applyFill="1" applyBorder="1" applyAlignment="1" applyProtection="1">
      <alignment horizontal="center" vertical="center" wrapText="1"/>
      <protection locked="0"/>
    </xf>
    <xf numFmtId="14" fontId="8" fillId="10" borderId="24" xfId="0" applyNumberFormat="1" applyFont="1" applyFill="1" applyBorder="1" applyAlignment="1">
      <alignment horizontal="center" vertical="center"/>
    </xf>
    <xf numFmtId="0" fontId="3" fillId="10" borderId="14" xfId="0" applyFont="1" applyFill="1" applyBorder="1" applyAlignment="1">
      <alignment horizontal="center" vertical="center"/>
    </xf>
    <xf numFmtId="14" fontId="8" fillId="10" borderId="14" xfId="0" applyNumberFormat="1" applyFont="1" applyFill="1" applyBorder="1" applyAlignment="1">
      <alignment horizontal="center" vertical="center"/>
    </xf>
    <xf numFmtId="0" fontId="8" fillId="10" borderId="14" xfId="0" applyFont="1" applyFill="1" applyBorder="1" applyAlignment="1">
      <alignment horizontal="center" vertical="center"/>
    </xf>
    <xf numFmtId="0" fontId="8" fillId="10" borderId="24" xfId="0" applyFont="1" applyFill="1" applyBorder="1" applyAlignment="1" applyProtection="1">
      <alignment horizontal="center" vertical="center" wrapText="1"/>
      <protection locked="0"/>
    </xf>
    <xf numFmtId="14" fontId="8" fillId="10" borderId="24" xfId="0" applyNumberFormat="1" applyFont="1" applyFill="1" applyBorder="1" applyAlignment="1">
      <alignment horizontal="center" vertical="center" wrapText="1"/>
    </xf>
    <xf numFmtId="14" fontId="8" fillId="8" borderId="14" xfId="0" applyNumberFormat="1" applyFont="1" applyFill="1" applyBorder="1" applyAlignment="1" applyProtection="1">
      <alignment horizontal="center"/>
      <protection locked="0"/>
    </xf>
    <xf numFmtId="14" fontId="8" fillId="8" borderId="25" xfId="0" applyNumberFormat="1" applyFont="1" applyFill="1" applyBorder="1" applyAlignment="1" applyProtection="1">
      <alignment horizontal="center"/>
      <protection locked="0"/>
    </xf>
    <xf numFmtId="14" fontId="8" fillId="8" borderId="27" xfId="0" applyNumberFormat="1" applyFont="1" applyFill="1" applyBorder="1" applyAlignment="1" applyProtection="1">
      <alignment horizontal="center"/>
      <protection locked="0"/>
    </xf>
    <xf numFmtId="14" fontId="8" fillId="8" borderId="24" xfId="0" applyNumberFormat="1" applyFont="1" applyFill="1" applyBorder="1" applyAlignment="1" applyProtection="1">
      <alignment horizontal="center" vertical="center" wrapText="1"/>
      <protection locked="0"/>
    </xf>
    <xf numFmtId="14" fontId="8" fillId="8" borderId="24" xfId="0" applyNumberFormat="1" applyFont="1" applyFill="1" applyBorder="1" applyAlignment="1" applyProtection="1">
      <alignment horizontal="center" vertical="center"/>
      <protection locked="0"/>
    </xf>
    <xf numFmtId="14" fontId="8" fillId="8" borderId="14" xfId="0" applyNumberFormat="1" applyFont="1" applyFill="1" applyBorder="1" applyAlignment="1" applyProtection="1">
      <alignment horizontal="center" vertical="center"/>
      <protection locked="0"/>
    </xf>
    <xf numFmtId="0" fontId="8" fillId="8" borderId="14" xfId="0" applyFont="1" applyFill="1" applyBorder="1" applyAlignment="1" applyProtection="1">
      <alignment horizontal="center" vertical="center"/>
      <protection locked="0"/>
    </xf>
    <xf numFmtId="14" fontId="8" fillId="8" borderId="43" xfId="0" applyNumberFormat="1" applyFont="1" applyFill="1" applyBorder="1" applyAlignment="1" applyProtection="1">
      <alignment horizontal="center" vertical="center"/>
      <protection locked="0"/>
    </xf>
    <xf numFmtId="0" fontId="8" fillId="8" borderId="32" xfId="0" applyFont="1" applyFill="1" applyBorder="1" applyAlignment="1" applyProtection="1">
      <alignment horizontal="center" vertical="center"/>
      <protection locked="0"/>
    </xf>
    <xf numFmtId="0" fontId="8" fillId="8" borderId="14" xfId="0" applyFont="1" applyFill="1" applyBorder="1" applyAlignment="1" applyProtection="1">
      <alignment horizontal="center" wrapText="1"/>
      <protection locked="0"/>
    </xf>
    <xf numFmtId="0" fontId="8" fillId="8" borderId="32" xfId="0" applyFont="1" applyFill="1" applyBorder="1" applyAlignment="1" applyProtection="1">
      <alignment horizontal="center" wrapText="1"/>
      <protection locked="0"/>
    </xf>
    <xf numFmtId="0" fontId="1" fillId="0" borderId="6" xfId="1" applyBorder="1"/>
    <xf numFmtId="0" fontId="4" fillId="0" borderId="0" xfId="1" applyFont="1" applyAlignment="1">
      <alignment vertical="center"/>
    </xf>
    <xf numFmtId="0" fontId="1" fillId="0" borderId="67" xfId="1" applyBorder="1"/>
    <xf numFmtId="0" fontId="1" fillId="2" borderId="0" xfId="0" applyFont="1" applyFill="1" applyAlignment="1">
      <alignment horizontal="center" vertical="center" wrapText="1"/>
    </xf>
    <xf numFmtId="0" fontId="1" fillId="2" borderId="1" xfId="0" applyFont="1" applyFill="1" applyBorder="1" applyAlignment="1">
      <alignment horizontal="left"/>
    </xf>
    <xf numFmtId="0" fontId="18" fillId="0" borderId="0" xfId="0" applyFont="1" applyAlignment="1">
      <alignment horizontal="center"/>
    </xf>
    <xf numFmtId="0" fontId="3" fillId="8" borderId="14" xfId="0" applyFont="1" applyFill="1" applyBorder="1" applyAlignment="1" applyProtection="1">
      <alignment horizontal="center"/>
      <protection locked="0"/>
    </xf>
    <xf numFmtId="0" fontId="3" fillId="8" borderId="21" xfId="0" applyFont="1" applyFill="1" applyBorder="1" applyAlignment="1" applyProtection="1">
      <alignment horizontal="center"/>
      <protection locked="0"/>
    </xf>
    <xf numFmtId="0" fontId="3" fillId="8" borderId="22" xfId="0" applyFont="1" applyFill="1" applyBorder="1" applyAlignment="1" applyProtection="1">
      <alignment horizontal="center"/>
      <protection locked="0"/>
    </xf>
    <xf numFmtId="0" fontId="8" fillId="2" borderId="100" xfId="0" applyFont="1" applyFill="1" applyBorder="1" applyAlignment="1">
      <alignment horizontal="center" vertical="center" wrapText="1"/>
    </xf>
    <xf numFmtId="0" fontId="8" fillId="2" borderId="59" xfId="0" applyFont="1" applyFill="1" applyBorder="1" applyAlignment="1">
      <alignment horizontal="center" vertical="center" wrapText="1"/>
    </xf>
    <xf numFmtId="0" fontId="0" fillId="3" borderId="2" xfId="0" applyFill="1" applyBorder="1" applyAlignment="1">
      <alignment horizontal="center"/>
    </xf>
    <xf numFmtId="0" fontId="0" fillId="3" borderId="1" xfId="0" applyFill="1" applyBorder="1" applyAlignment="1">
      <alignment horizontal="center"/>
    </xf>
    <xf numFmtId="0" fontId="8" fillId="2" borderId="14" xfId="0" applyFont="1" applyFill="1" applyBorder="1" applyAlignment="1">
      <alignment horizontal="center"/>
    </xf>
    <xf numFmtId="0" fontId="8" fillId="2" borderId="21" xfId="0" applyFont="1" applyFill="1" applyBorder="1" applyAlignment="1">
      <alignment horizontal="center"/>
    </xf>
    <xf numFmtId="14" fontId="8" fillId="8" borderId="14" xfId="0" applyNumberFormat="1" applyFont="1" applyFill="1" applyBorder="1" applyProtection="1">
      <protection locked="0"/>
    </xf>
    <xf numFmtId="14" fontId="8" fillId="8" borderId="27" xfId="0" applyNumberFormat="1" applyFont="1" applyFill="1" applyBorder="1" applyProtection="1">
      <protection locked="0"/>
    </xf>
    <xf numFmtId="0" fontId="8" fillId="2" borderId="16" xfId="0" applyFont="1" applyFill="1" applyBorder="1" applyAlignment="1">
      <alignment horizontal="center" vertical="center"/>
    </xf>
    <xf numFmtId="0" fontId="0" fillId="3" borderId="3" xfId="0" applyFill="1" applyBorder="1"/>
    <xf numFmtId="0" fontId="8" fillId="2" borderId="53"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7" fillId="3" borderId="8" xfId="0" applyFont="1" applyFill="1" applyBorder="1" applyAlignment="1">
      <alignment horizontal="center" vertical="center"/>
    </xf>
    <xf numFmtId="0" fontId="0" fillId="3" borderId="85" xfId="0" applyFill="1" applyBorder="1"/>
    <xf numFmtId="0" fontId="8" fillId="8" borderId="87" xfId="0" applyFont="1" applyFill="1" applyBorder="1" applyAlignment="1" applyProtection="1">
      <alignment horizontal="center" vertical="center" wrapText="1"/>
      <protection locked="0"/>
    </xf>
    <xf numFmtId="0" fontId="3" fillId="0" borderId="0" xfId="0" applyFont="1" applyAlignment="1">
      <alignment horizontal="center"/>
    </xf>
    <xf numFmtId="0" fontId="18" fillId="2" borderId="10" xfId="0" applyFont="1" applyFill="1" applyBorder="1" applyAlignment="1">
      <alignment horizontal="center" vertical="center" wrapText="1"/>
    </xf>
    <xf numFmtId="0" fontId="12" fillId="11" borderId="57" xfId="0" applyFont="1" applyFill="1" applyBorder="1" applyAlignment="1">
      <alignment vertical="center"/>
    </xf>
    <xf numFmtId="0" fontId="3" fillId="2" borderId="0" xfId="0" applyFont="1" applyFill="1" applyAlignment="1">
      <alignment horizontal="center"/>
    </xf>
    <xf numFmtId="0" fontId="3" fillId="2" borderId="0" xfId="0" applyFont="1" applyFill="1" applyAlignment="1">
      <alignment horizontal="center" wrapText="1"/>
    </xf>
    <xf numFmtId="0" fontId="18" fillId="2" borderId="0" xfId="0" applyFont="1" applyFill="1" applyAlignment="1">
      <alignment horizontal="center" wrapText="1"/>
    </xf>
    <xf numFmtId="0" fontId="1" fillId="2" borderId="0" xfId="0" applyFont="1" applyFill="1"/>
    <xf numFmtId="0" fontId="3" fillId="2" borderId="76" xfId="0" applyFont="1" applyFill="1" applyBorder="1" applyAlignment="1">
      <alignment horizontal="center" vertical="center" wrapText="1"/>
    </xf>
    <xf numFmtId="0" fontId="9" fillId="2" borderId="105" xfId="0" applyFont="1" applyFill="1" applyBorder="1" applyAlignment="1">
      <alignment horizontal="center" vertical="center" wrapText="1"/>
    </xf>
    <xf numFmtId="0" fontId="1" fillId="0" borderId="1" xfId="0" applyFont="1" applyBorder="1"/>
    <xf numFmtId="0" fontId="8" fillId="8" borderId="153" xfId="0" applyFont="1" applyFill="1" applyBorder="1" applyAlignment="1" applyProtection="1">
      <alignment horizontal="center" vertical="center" wrapText="1"/>
      <protection locked="0"/>
    </xf>
    <xf numFmtId="0" fontId="6" fillId="6" borderId="32" xfId="0" applyFont="1" applyFill="1" applyBorder="1" applyAlignment="1">
      <alignment horizontal="center" vertical="top"/>
    </xf>
    <xf numFmtId="0" fontId="6" fillId="6" borderId="73" xfId="0" applyFont="1" applyFill="1" applyBorder="1" applyAlignment="1">
      <alignment horizontal="center" vertical="top"/>
    </xf>
    <xf numFmtId="0" fontId="6" fillId="6" borderId="9" xfId="0" applyFont="1" applyFill="1" applyBorder="1" applyAlignment="1">
      <alignment horizontal="center" vertical="top"/>
    </xf>
    <xf numFmtId="0" fontId="10" fillId="6" borderId="31" xfId="0" applyFont="1" applyFill="1" applyBorder="1" applyAlignment="1">
      <alignment horizontal="left" vertical="center" wrapText="1"/>
    </xf>
    <xf numFmtId="0" fontId="10" fillId="6" borderId="42" xfId="0" applyFont="1" applyFill="1" applyBorder="1" applyAlignment="1">
      <alignment horizontal="left" vertical="center" wrapText="1"/>
    </xf>
    <xf numFmtId="0" fontId="10" fillId="6" borderId="58" xfId="0" applyFont="1" applyFill="1" applyBorder="1" applyAlignment="1">
      <alignment horizontal="left" vertical="center" wrapText="1"/>
    </xf>
    <xf numFmtId="0" fontId="10" fillId="6" borderId="74" xfId="0" applyFont="1" applyFill="1" applyBorder="1" applyAlignment="1">
      <alignment horizontal="left" vertical="center" wrapText="1"/>
    </xf>
    <xf numFmtId="0" fontId="10" fillId="6" borderId="0" xfId="0" applyFont="1" applyFill="1" applyAlignment="1">
      <alignment horizontal="left" vertical="center" wrapText="1"/>
    </xf>
    <xf numFmtId="0" fontId="10" fillId="6" borderId="75" xfId="0" applyFont="1" applyFill="1" applyBorder="1" applyAlignment="1">
      <alignment horizontal="left" vertical="center" wrapText="1"/>
    </xf>
    <xf numFmtId="0" fontId="10" fillId="6" borderId="76" xfId="0" applyFont="1" applyFill="1" applyBorder="1" applyAlignment="1">
      <alignment horizontal="left" vertical="center" wrapText="1"/>
    </xf>
    <xf numFmtId="0" fontId="10" fillId="6" borderId="69" xfId="0" applyFont="1" applyFill="1" applyBorder="1" applyAlignment="1">
      <alignment horizontal="left" vertical="center" wrapText="1"/>
    </xf>
    <xf numFmtId="0" fontId="10" fillId="6" borderId="77" xfId="0" applyFont="1" applyFill="1" applyBorder="1" applyAlignment="1">
      <alignment horizontal="left" vertical="center" wrapText="1"/>
    </xf>
    <xf numFmtId="0" fontId="6" fillId="6" borderId="32" xfId="0" applyFont="1" applyFill="1" applyBorder="1" applyAlignment="1">
      <alignment horizontal="left" vertical="center" wrapText="1"/>
    </xf>
    <xf numFmtId="0" fontId="6" fillId="6" borderId="73" xfId="0" applyFont="1" applyFill="1" applyBorder="1" applyAlignment="1">
      <alignment horizontal="left" vertical="center" wrapText="1"/>
    </xf>
    <xf numFmtId="0" fontId="6" fillId="6" borderId="9" xfId="0" applyFont="1" applyFill="1" applyBorder="1" applyAlignment="1">
      <alignment horizontal="left" vertical="center" wrapText="1"/>
    </xf>
    <xf numFmtId="0" fontId="17" fillId="0" borderId="84" xfId="0" applyFont="1" applyBorder="1" applyAlignment="1">
      <alignment horizontal="center"/>
    </xf>
    <xf numFmtId="0" fontId="17" fillId="0" borderId="85" xfId="0" applyFont="1" applyBorder="1" applyAlignment="1">
      <alignment horizontal="center"/>
    </xf>
    <xf numFmtId="0" fontId="17" fillId="0" borderId="86" xfId="0" applyFont="1" applyBorder="1" applyAlignment="1">
      <alignment horizontal="center"/>
    </xf>
    <xf numFmtId="0" fontId="6" fillId="6" borderId="31" xfId="0" applyFont="1" applyFill="1" applyBorder="1" applyAlignment="1">
      <alignment horizontal="left" vertical="top" wrapText="1"/>
    </xf>
    <xf numFmtId="0" fontId="6" fillId="6" borderId="42" xfId="0" applyFont="1" applyFill="1" applyBorder="1" applyAlignment="1">
      <alignment horizontal="left" vertical="top" wrapText="1"/>
    </xf>
    <xf numFmtId="0" fontId="6" fillId="6" borderId="58" xfId="0" applyFont="1" applyFill="1" applyBorder="1" applyAlignment="1">
      <alignment horizontal="left" vertical="top" wrapText="1"/>
    </xf>
    <xf numFmtId="0" fontId="6" fillId="6" borderId="74" xfId="0" applyFont="1" applyFill="1" applyBorder="1" applyAlignment="1">
      <alignment horizontal="left" vertical="top" wrapText="1"/>
    </xf>
    <xf numFmtId="0" fontId="6" fillId="6" borderId="0" xfId="0" applyFont="1" applyFill="1" applyAlignment="1">
      <alignment horizontal="left" vertical="top" wrapText="1"/>
    </xf>
    <xf numFmtId="0" fontId="6" fillId="6" borderId="75" xfId="0" applyFont="1" applyFill="1" applyBorder="1" applyAlignment="1">
      <alignment horizontal="left" vertical="top" wrapText="1"/>
    </xf>
    <xf numFmtId="0" fontId="6" fillId="6" borderId="76" xfId="0" applyFont="1" applyFill="1" applyBorder="1" applyAlignment="1">
      <alignment horizontal="left" vertical="top" wrapText="1"/>
    </xf>
    <xf numFmtId="0" fontId="6" fillId="6" borderId="69" xfId="0" applyFont="1" applyFill="1" applyBorder="1" applyAlignment="1">
      <alignment horizontal="left" vertical="top" wrapText="1"/>
    </xf>
    <xf numFmtId="0" fontId="6" fillId="6" borderId="77" xfId="0" applyFont="1" applyFill="1" applyBorder="1" applyAlignment="1">
      <alignment horizontal="left" vertical="top" wrapText="1"/>
    </xf>
    <xf numFmtId="0" fontId="0" fillId="0" borderId="11" xfId="0" applyBorder="1" applyAlignment="1">
      <alignment horizontal="center"/>
    </xf>
    <xf numFmtId="0" fontId="0" fillId="0" borderId="7" xfId="0" applyBorder="1" applyAlignment="1">
      <alignment horizontal="center"/>
    </xf>
    <xf numFmtId="0" fontId="0" fillId="0" borderId="78" xfId="0" applyBorder="1" applyAlignment="1">
      <alignment horizontal="center"/>
    </xf>
    <xf numFmtId="0" fontId="0" fillId="0" borderId="79" xfId="0" applyBorder="1" applyAlignment="1">
      <alignment horizontal="center"/>
    </xf>
    <xf numFmtId="0" fontId="0" fillId="0" borderId="1" xfId="0" applyBorder="1" applyAlignment="1">
      <alignment horizontal="center"/>
    </xf>
    <xf numFmtId="0" fontId="0" fillId="0" borderId="80" xfId="0" applyBorder="1" applyAlignment="1">
      <alignment horizontal="center"/>
    </xf>
    <xf numFmtId="0" fontId="6" fillId="6" borderId="32" xfId="0" applyFont="1" applyFill="1" applyBorder="1" applyAlignment="1">
      <alignment horizontal="center" vertical="top" wrapText="1"/>
    </xf>
    <xf numFmtId="0" fontId="6" fillId="6" borderId="73" xfId="0" applyFont="1" applyFill="1" applyBorder="1" applyAlignment="1">
      <alignment horizontal="center" vertical="top" wrapText="1"/>
    </xf>
    <xf numFmtId="0" fontId="6" fillId="6" borderId="9" xfId="0" applyFont="1" applyFill="1" applyBorder="1" applyAlignment="1">
      <alignment horizontal="center" vertical="top" wrapText="1"/>
    </xf>
    <xf numFmtId="0" fontId="10" fillId="6" borderId="42" xfId="0" applyFont="1" applyFill="1" applyBorder="1" applyAlignment="1">
      <alignment horizontal="left" vertical="top" wrapText="1"/>
    </xf>
    <xf numFmtId="0" fontId="10" fillId="6" borderId="58" xfId="0" applyFont="1" applyFill="1" applyBorder="1" applyAlignment="1">
      <alignment horizontal="left" vertical="top" wrapText="1"/>
    </xf>
    <xf numFmtId="0" fontId="10" fillId="6" borderId="74" xfId="0" applyFont="1" applyFill="1" applyBorder="1" applyAlignment="1">
      <alignment horizontal="left" vertical="top" wrapText="1"/>
    </xf>
    <xf numFmtId="0" fontId="10" fillId="6" borderId="0" xfId="0" applyFont="1" applyFill="1" applyAlignment="1">
      <alignment horizontal="left" vertical="top" wrapText="1"/>
    </xf>
    <xf numFmtId="0" fontId="10" fillId="6" borderId="75" xfId="0" applyFont="1" applyFill="1" applyBorder="1" applyAlignment="1">
      <alignment horizontal="left" vertical="top" wrapText="1"/>
    </xf>
    <xf numFmtId="0" fontId="10" fillId="6" borderId="76" xfId="0" applyFont="1" applyFill="1" applyBorder="1" applyAlignment="1">
      <alignment horizontal="left" vertical="top" wrapText="1"/>
    </xf>
    <xf numFmtId="0" fontId="10" fillId="6" borderId="69" xfId="0" applyFont="1" applyFill="1" applyBorder="1" applyAlignment="1">
      <alignment horizontal="left" vertical="top" wrapText="1"/>
    </xf>
    <xf numFmtId="0" fontId="10" fillId="6" borderId="77" xfId="0" applyFont="1" applyFill="1" applyBorder="1" applyAlignment="1">
      <alignment horizontal="left" vertical="top" wrapText="1"/>
    </xf>
    <xf numFmtId="0" fontId="10" fillId="6" borderId="31" xfId="0" applyFont="1" applyFill="1" applyBorder="1" applyAlignment="1">
      <alignment horizontal="left" vertical="top" wrapText="1"/>
    </xf>
    <xf numFmtId="0" fontId="6" fillId="6" borderId="81" xfId="0" applyFont="1" applyFill="1" applyBorder="1" applyAlignment="1">
      <alignment horizontal="center" vertical="top"/>
    </xf>
    <xf numFmtId="0" fontId="6" fillId="6" borderId="82" xfId="0" applyFont="1" applyFill="1" applyBorder="1" applyAlignment="1">
      <alignment horizontal="left" vertical="top" wrapText="1"/>
    </xf>
    <xf numFmtId="0" fontId="6" fillId="6" borderId="13" xfId="0" applyFont="1" applyFill="1" applyBorder="1" applyAlignment="1">
      <alignment horizontal="left" vertical="top" wrapText="1"/>
    </xf>
    <xf numFmtId="0" fontId="6" fillId="6" borderId="83" xfId="0" applyFont="1" applyFill="1" applyBorder="1" applyAlignment="1">
      <alignment horizontal="left" vertical="top" wrapText="1"/>
    </xf>
    <xf numFmtId="0" fontId="0" fillId="6" borderId="32" xfId="0" applyFill="1" applyBorder="1" applyAlignment="1">
      <alignment horizontal="center" vertical="top" wrapText="1"/>
    </xf>
    <xf numFmtId="0" fontId="0" fillId="6" borderId="73" xfId="0" applyFill="1" applyBorder="1" applyAlignment="1">
      <alignment horizontal="center" vertical="top" wrapText="1"/>
    </xf>
    <xf numFmtId="0" fontId="0" fillId="6" borderId="9" xfId="0" applyFill="1" applyBorder="1" applyAlignment="1">
      <alignment horizontal="center" vertical="top" wrapText="1"/>
    </xf>
    <xf numFmtId="0" fontId="0" fillId="0" borderId="37" xfId="0" applyBorder="1" applyAlignment="1">
      <alignment horizontal="center"/>
    </xf>
    <xf numFmtId="49" fontId="11" fillId="8" borderId="18" xfId="0" applyNumberFormat="1" applyFont="1" applyFill="1" applyBorder="1" applyAlignment="1" applyProtection="1">
      <alignment horizontal="center"/>
      <protection locked="0"/>
    </xf>
    <xf numFmtId="49" fontId="11" fillId="8" borderId="37" xfId="0" applyNumberFormat="1" applyFont="1" applyFill="1" applyBorder="1" applyAlignment="1" applyProtection="1">
      <alignment horizontal="center"/>
      <protection locked="0"/>
    </xf>
    <xf numFmtId="49" fontId="11" fillId="8" borderId="88" xfId="0" applyNumberFormat="1" applyFont="1" applyFill="1" applyBorder="1" applyAlignment="1" applyProtection="1">
      <alignment horizontal="center"/>
      <protection locked="0"/>
    </xf>
    <xf numFmtId="0" fontId="3" fillId="2" borderId="32"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0" fillId="3" borderId="1" xfId="0" applyFill="1" applyBorder="1" applyAlignment="1">
      <alignment horizontal="center"/>
    </xf>
    <xf numFmtId="0" fontId="0" fillId="3" borderId="0" xfId="0" applyFill="1" applyAlignment="1">
      <alignment horizontal="center"/>
    </xf>
    <xf numFmtId="0" fontId="5" fillId="2" borderId="149" xfId="0" applyFont="1" applyFill="1" applyBorder="1" applyAlignment="1">
      <alignment horizontal="center" vertical="center" wrapText="1"/>
    </xf>
    <xf numFmtId="0" fontId="5" fillId="2" borderId="127" xfId="0" applyFont="1" applyFill="1" applyBorder="1" applyAlignment="1">
      <alignment horizontal="center" vertical="center" wrapText="1"/>
    </xf>
    <xf numFmtId="0" fontId="5" fillId="2" borderId="150" xfId="0" applyFont="1" applyFill="1" applyBorder="1" applyAlignment="1">
      <alignment horizontal="center" vertical="center" wrapText="1"/>
    </xf>
    <xf numFmtId="0" fontId="3" fillId="2" borderId="21" xfId="0" applyFont="1" applyFill="1" applyBorder="1" applyAlignment="1">
      <alignment horizontal="center" vertical="center" wrapText="1"/>
    </xf>
    <xf numFmtId="0" fontId="9" fillId="2" borderId="21" xfId="0" applyFont="1" applyFill="1" applyBorder="1" applyAlignment="1">
      <alignment horizontal="center" vertical="center" wrapText="1"/>
    </xf>
    <xf numFmtId="0" fontId="0" fillId="1" borderId="78" xfId="0" applyFill="1" applyBorder="1" applyAlignment="1">
      <alignment horizontal="center"/>
    </xf>
    <xf numFmtId="0" fontId="0" fillId="1" borderId="2" xfId="0" applyFill="1" applyBorder="1" applyAlignment="1">
      <alignment horizontal="center"/>
    </xf>
    <xf numFmtId="0" fontId="0" fillId="1" borderId="5" xfId="0" applyFill="1" applyBorder="1" applyAlignment="1">
      <alignment horizontal="center"/>
    </xf>
    <xf numFmtId="0" fontId="5" fillId="2" borderId="87" xfId="0" applyFont="1" applyFill="1" applyBorder="1" applyAlignment="1">
      <alignment horizontal="center" vertical="center" wrapText="1"/>
    </xf>
    <xf numFmtId="0" fontId="5" fillId="2" borderId="37" xfId="0" applyFont="1" applyFill="1" applyBorder="1" applyAlignment="1">
      <alignment horizontal="center" vertical="center" wrapText="1"/>
    </xf>
    <xf numFmtId="0" fontId="5" fillId="2" borderId="88" xfId="0" applyFont="1" applyFill="1" applyBorder="1" applyAlignment="1">
      <alignment horizontal="center" vertical="center" wrapText="1"/>
    </xf>
    <xf numFmtId="0" fontId="12" fillId="11" borderId="18" xfId="0" applyFont="1" applyFill="1" applyBorder="1" applyAlignment="1">
      <alignment horizontal="center" vertical="center"/>
    </xf>
    <xf numFmtId="0" fontId="12" fillId="11" borderId="37" xfId="0" applyFont="1" applyFill="1" applyBorder="1" applyAlignment="1">
      <alignment horizontal="center" vertical="center"/>
    </xf>
    <xf numFmtId="0" fontId="0" fillId="3" borderId="12" xfId="0" applyFill="1" applyBorder="1" applyAlignment="1">
      <alignment horizontal="center" vertical="center" wrapText="1"/>
    </xf>
    <xf numFmtId="0" fontId="8" fillId="2" borderId="34"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95" xfId="0" applyFont="1" applyFill="1" applyBorder="1" applyAlignment="1">
      <alignment horizontal="center" vertical="center"/>
    </xf>
    <xf numFmtId="0" fontId="8" fillId="2" borderId="55" xfId="0" applyFont="1" applyFill="1" applyBorder="1" applyAlignment="1">
      <alignment horizontal="center" vertical="center"/>
    </xf>
    <xf numFmtId="0" fontId="8" fillId="2" borderId="90" xfId="0" applyFont="1" applyFill="1" applyBorder="1" applyAlignment="1">
      <alignment horizontal="center" vertical="center"/>
    </xf>
    <xf numFmtId="0" fontId="8" fillId="2" borderId="87" xfId="0" applyFont="1" applyFill="1" applyBorder="1" applyAlignment="1">
      <alignment horizontal="center" vertical="center"/>
    </xf>
    <xf numFmtId="0" fontId="8" fillId="2" borderId="37" xfId="0" applyFont="1" applyFill="1" applyBorder="1" applyAlignment="1">
      <alignment horizontal="center" vertical="center"/>
    </xf>
    <xf numFmtId="0" fontId="11" fillId="4" borderId="37" xfId="0" applyFont="1" applyFill="1" applyBorder="1" applyAlignment="1">
      <alignment horizontal="center" vertical="center" wrapText="1"/>
    </xf>
    <xf numFmtId="0" fontId="11" fillId="2" borderId="18" xfId="0" applyFont="1" applyFill="1" applyBorder="1" applyAlignment="1">
      <alignment horizontal="center" vertical="center" wrapText="1"/>
    </xf>
    <xf numFmtId="0" fontId="11" fillId="2" borderId="88" xfId="0"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23" xfId="0" applyFont="1" applyFill="1" applyBorder="1" applyAlignment="1">
      <alignment horizontal="center" vertical="center"/>
    </xf>
    <xf numFmtId="0" fontId="8" fillId="2" borderId="20" xfId="0" applyFont="1" applyFill="1" applyBorder="1" applyAlignment="1">
      <alignment horizontal="center" vertical="center"/>
    </xf>
    <xf numFmtId="0" fontId="8" fillId="5" borderId="58" xfId="0" applyFont="1" applyFill="1" applyBorder="1" applyAlignment="1">
      <alignment horizontal="center" vertical="center"/>
    </xf>
    <xf numFmtId="0" fontId="8" fillId="5" borderId="83" xfId="0" applyFont="1" applyFill="1" applyBorder="1" applyAlignment="1">
      <alignment horizontal="center" vertical="center"/>
    </xf>
    <xf numFmtId="0" fontId="11" fillId="2" borderId="56" xfId="0" applyFont="1" applyFill="1" applyBorder="1" applyAlignment="1">
      <alignment horizontal="center" vertical="center" wrapText="1"/>
    </xf>
    <xf numFmtId="0" fontId="11" fillId="2" borderId="89" xfId="0" applyFont="1" applyFill="1" applyBorder="1" applyAlignment="1">
      <alignment horizontal="center" vertical="center" wrapText="1"/>
    </xf>
    <xf numFmtId="0" fontId="8" fillId="2" borderId="100" xfId="0" applyFont="1" applyFill="1" applyBorder="1" applyAlignment="1">
      <alignment horizontal="center" vertical="center"/>
    </xf>
    <xf numFmtId="0" fontId="8" fillId="2" borderId="59" xfId="0" applyFont="1" applyFill="1" applyBorder="1" applyAlignment="1">
      <alignment horizontal="center" vertical="center"/>
    </xf>
    <xf numFmtId="0" fontId="7" fillId="2" borderId="34" xfId="0" applyFont="1" applyFill="1" applyBorder="1" applyAlignment="1">
      <alignment horizontal="center" vertical="center"/>
    </xf>
    <xf numFmtId="0" fontId="7" fillId="2" borderId="17" xfId="0" applyFont="1" applyFill="1" applyBorder="1" applyAlignment="1">
      <alignment horizontal="center" vertical="center"/>
    </xf>
    <xf numFmtId="0" fontId="7" fillId="2" borderId="95" xfId="0" applyFont="1" applyFill="1" applyBorder="1" applyAlignment="1">
      <alignment horizontal="center" vertical="center"/>
    </xf>
    <xf numFmtId="0" fontId="8" fillId="5" borderId="43" xfId="0" applyFont="1" applyFill="1" applyBorder="1" applyAlignment="1">
      <alignment horizontal="center" vertical="center"/>
    </xf>
    <xf numFmtId="0" fontId="8" fillId="5" borderId="19" xfId="0" applyFont="1" applyFill="1" applyBorder="1" applyAlignment="1">
      <alignment horizontal="center" vertical="center"/>
    </xf>
    <xf numFmtId="0" fontId="8" fillId="5" borderId="44" xfId="0" applyFont="1" applyFill="1" applyBorder="1" applyAlignment="1">
      <alignment horizontal="center" vertical="center"/>
    </xf>
    <xf numFmtId="0" fontId="8" fillId="5" borderId="26" xfId="0" applyFont="1" applyFill="1" applyBorder="1" applyAlignment="1">
      <alignment horizontal="center" vertical="center"/>
    </xf>
    <xf numFmtId="0" fontId="8" fillId="8" borderId="54" xfId="0" applyFont="1" applyFill="1" applyBorder="1" applyAlignment="1" applyProtection="1">
      <alignment horizontal="center" vertical="center" wrapText="1"/>
      <protection locked="0"/>
    </xf>
    <xf numFmtId="0" fontId="8" fillId="8" borderId="26" xfId="0" applyFont="1" applyFill="1" applyBorder="1" applyAlignment="1" applyProtection="1">
      <alignment horizontal="center" vertical="center" wrapText="1"/>
      <protection locked="0"/>
    </xf>
    <xf numFmtId="0" fontId="11" fillId="2" borderId="24" xfId="0" applyFont="1" applyFill="1" applyBorder="1" applyAlignment="1">
      <alignment horizontal="center" vertical="center" wrapText="1"/>
    </xf>
    <xf numFmtId="0" fontId="11" fillId="2" borderId="14" xfId="0" applyFont="1" applyFill="1" applyBorder="1" applyAlignment="1">
      <alignment horizontal="center" vertical="center" wrapText="1"/>
    </xf>
    <xf numFmtId="0" fontId="8" fillId="2" borderId="33" xfId="0" applyFont="1" applyFill="1" applyBorder="1" applyAlignment="1">
      <alignment horizontal="center" vertical="center" wrapText="1"/>
    </xf>
    <xf numFmtId="0" fontId="8" fillId="2" borderId="101" xfId="0" applyFont="1" applyFill="1" applyBorder="1" applyAlignment="1">
      <alignment horizontal="center" vertical="center" wrapText="1"/>
    </xf>
    <xf numFmtId="0" fontId="11" fillId="2" borderId="57"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8" fillId="2" borderId="97" xfId="0" applyFont="1" applyFill="1" applyBorder="1" applyAlignment="1">
      <alignment horizontal="center" vertical="center" wrapText="1"/>
    </xf>
    <xf numFmtId="0" fontId="8" fillId="2" borderId="102" xfId="0" applyFont="1" applyFill="1" applyBorder="1" applyAlignment="1">
      <alignment horizontal="center" vertical="center"/>
    </xf>
    <xf numFmtId="0" fontId="8" fillId="2" borderId="73" xfId="0" applyFont="1" applyFill="1" applyBorder="1" applyAlignment="1">
      <alignment horizontal="center" vertical="center"/>
    </xf>
    <xf numFmtId="0" fontId="8" fillId="2" borderId="74" xfId="0" applyFont="1" applyFill="1" applyBorder="1" applyAlignment="1">
      <alignment horizontal="center" vertical="center"/>
    </xf>
    <xf numFmtId="0" fontId="8" fillId="2" borderId="99" xfId="0" applyFont="1" applyFill="1" applyBorder="1" applyAlignment="1">
      <alignment horizontal="center" vertical="center"/>
    </xf>
    <xf numFmtId="0" fontId="8" fillId="2" borderId="69" xfId="0" applyFont="1" applyFill="1" applyBorder="1" applyAlignment="1">
      <alignment horizontal="center" vertical="center"/>
    </xf>
    <xf numFmtId="0" fontId="11" fillId="4" borderId="18" xfId="0" applyFont="1" applyFill="1" applyBorder="1" applyAlignment="1">
      <alignment horizontal="center" vertical="center" wrapText="1"/>
    </xf>
    <xf numFmtId="0" fontId="11" fillId="4" borderId="57" xfId="0" applyFont="1" applyFill="1" applyBorder="1" applyAlignment="1">
      <alignment horizontal="center" vertical="center" wrapText="1"/>
    </xf>
    <xf numFmtId="0" fontId="8" fillId="8" borderId="106" xfId="0" applyFont="1" applyFill="1" applyBorder="1" applyAlignment="1" applyProtection="1">
      <alignment horizontal="center" vertical="center" wrapText="1"/>
      <protection locked="0"/>
    </xf>
    <xf numFmtId="0" fontId="8" fillId="8" borderId="109" xfId="0" applyFont="1" applyFill="1" applyBorder="1" applyAlignment="1" applyProtection="1">
      <alignment horizontal="center" vertical="center" wrapText="1"/>
      <protection locked="0"/>
    </xf>
    <xf numFmtId="0" fontId="8" fillId="2" borderId="23" xfId="0" applyFont="1" applyFill="1" applyBorder="1" applyAlignment="1">
      <alignment horizontal="center" vertical="center" wrapText="1"/>
    </xf>
    <xf numFmtId="0" fontId="8" fillId="2" borderId="24"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11" fillId="2" borderId="37" xfId="0" applyFont="1" applyFill="1" applyBorder="1" applyAlignment="1">
      <alignment horizontal="center" vertical="center" wrapText="1"/>
    </xf>
    <xf numFmtId="0" fontId="8" fillId="2" borderId="105"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96" xfId="0" applyFont="1" applyFill="1" applyBorder="1" applyAlignment="1">
      <alignment horizontal="center" vertical="center" wrapText="1"/>
    </xf>
    <xf numFmtId="0" fontId="8" fillId="2" borderId="76" xfId="0" applyFont="1" applyFill="1" applyBorder="1" applyAlignment="1">
      <alignment horizontal="center" vertical="center" wrapText="1"/>
    </xf>
    <xf numFmtId="0" fontId="8" fillId="2" borderId="69" xfId="0" applyFont="1" applyFill="1" applyBorder="1" applyAlignment="1">
      <alignment horizontal="center" vertical="center" wrapText="1"/>
    </xf>
    <xf numFmtId="0" fontId="8" fillId="2" borderId="77" xfId="0" applyFont="1" applyFill="1" applyBorder="1" applyAlignment="1">
      <alignment horizontal="center" vertical="center" wrapText="1"/>
    </xf>
    <xf numFmtId="0" fontId="9" fillId="3" borderId="4" xfId="0" applyFont="1" applyFill="1" applyBorder="1" applyAlignment="1">
      <alignment horizontal="center" vertical="center"/>
    </xf>
    <xf numFmtId="0" fontId="8" fillId="3" borderId="13" xfId="0" applyFont="1" applyFill="1" applyBorder="1" applyAlignment="1">
      <alignment horizontal="center" vertical="center"/>
    </xf>
    <xf numFmtId="0" fontId="8" fillId="5" borderId="93" xfId="0" applyFont="1" applyFill="1" applyBorder="1" applyAlignment="1">
      <alignment horizontal="center" vertical="center" wrapText="1"/>
    </xf>
    <xf numFmtId="0" fontId="8" fillId="5" borderId="94" xfId="0" applyFont="1" applyFill="1" applyBorder="1" applyAlignment="1">
      <alignment horizontal="center" vertical="center" wrapText="1"/>
    </xf>
    <xf numFmtId="0" fontId="8" fillId="2" borderId="93" xfId="0" applyFont="1" applyFill="1" applyBorder="1" applyAlignment="1">
      <alignment horizontal="center" vertical="center"/>
    </xf>
    <xf numFmtId="0" fontId="8" fillId="2" borderId="94" xfId="0" applyFont="1" applyFill="1" applyBorder="1" applyAlignment="1">
      <alignment horizontal="center" vertical="center"/>
    </xf>
    <xf numFmtId="0" fontId="5" fillId="2" borderId="103"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9" fillId="2" borderId="97"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8" fillId="2" borderId="91" xfId="0" applyFont="1" applyFill="1" applyBorder="1" applyAlignment="1">
      <alignment horizontal="center" vertical="center"/>
    </xf>
    <xf numFmtId="0" fontId="8" fillId="2" borderId="85"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7" xfId="0" applyFont="1" applyFill="1" applyBorder="1" applyAlignment="1">
      <alignment horizontal="center" vertical="center"/>
    </xf>
    <xf numFmtId="0" fontId="8" fillId="2" borderId="56" xfId="0" applyFont="1" applyFill="1" applyBorder="1" applyAlignment="1">
      <alignment horizontal="center" vertical="center"/>
    </xf>
    <xf numFmtId="0" fontId="8" fillId="2" borderId="97" xfId="0" applyFont="1" applyFill="1" applyBorder="1" applyAlignment="1">
      <alignment horizontal="center" vertical="center"/>
    </xf>
    <xf numFmtId="0" fontId="8" fillId="2" borderId="84" xfId="0" applyFont="1" applyFill="1" applyBorder="1" applyAlignment="1">
      <alignment horizontal="center" vertical="center"/>
    </xf>
    <xf numFmtId="0" fontId="8" fillId="2" borderId="55" xfId="0" applyFont="1" applyFill="1" applyBorder="1" applyAlignment="1">
      <alignment horizontal="center" vertical="center" wrapText="1"/>
    </xf>
    <xf numFmtId="0" fontId="8" fillId="2" borderId="90" xfId="0" applyFont="1" applyFill="1" applyBorder="1" applyAlignment="1">
      <alignment horizontal="center" vertical="center" wrapText="1"/>
    </xf>
    <xf numFmtId="0" fontId="8" fillId="2" borderId="98" xfId="0" applyFont="1" applyFill="1" applyBorder="1" applyAlignment="1">
      <alignment horizontal="center" vertical="center" wrapText="1"/>
    </xf>
    <xf numFmtId="0" fontId="8" fillId="2" borderId="24" xfId="0" applyFont="1" applyFill="1" applyBorder="1" applyAlignment="1">
      <alignment horizontal="center" vertical="center"/>
    </xf>
    <xf numFmtId="0" fontId="8" fillId="2" borderId="14" xfId="0" applyFont="1" applyFill="1" applyBorder="1" applyAlignment="1">
      <alignment horizontal="center" vertical="center"/>
    </xf>
    <xf numFmtId="0" fontId="8" fillId="2" borderId="18" xfId="0" applyFont="1" applyFill="1" applyBorder="1" applyAlignment="1">
      <alignment horizontal="center" vertical="center"/>
    </xf>
    <xf numFmtId="0" fontId="8" fillId="2" borderId="30" xfId="0" applyFont="1" applyFill="1" applyBorder="1" applyAlignment="1">
      <alignment horizontal="center" vertical="center" wrapText="1"/>
    </xf>
    <xf numFmtId="0" fontId="8" fillId="2" borderId="28" xfId="0" applyFont="1" applyFill="1" applyBorder="1" applyAlignment="1">
      <alignment horizontal="center" vertical="center" wrapText="1"/>
    </xf>
    <xf numFmtId="0" fontId="8" fillId="2" borderId="25" xfId="0" applyFont="1" applyFill="1" applyBorder="1" applyAlignment="1">
      <alignment horizontal="center"/>
    </xf>
    <xf numFmtId="0" fontId="8" fillId="2" borderId="27" xfId="0" applyFont="1" applyFill="1" applyBorder="1" applyAlignment="1">
      <alignment horizontal="center"/>
    </xf>
    <xf numFmtId="0" fontId="8" fillId="2" borderId="13" xfId="0" applyFont="1" applyFill="1" applyBorder="1" applyAlignment="1">
      <alignment horizontal="center" vertical="center" wrapText="1"/>
    </xf>
    <xf numFmtId="0" fontId="8" fillId="2" borderId="83" xfId="0" applyFont="1" applyFill="1" applyBorder="1" applyAlignment="1">
      <alignment horizontal="center" vertical="center" wrapText="1"/>
    </xf>
    <xf numFmtId="0" fontId="8" fillId="3" borderId="13" xfId="0" applyFont="1" applyFill="1" applyBorder="1" applyAlignment="1">
      <alignment horizontal="center" vertical="center" wrapText="1"/>
    </xf>
    <xf numFmtId="0" fontId="8" fillId="2" borderId="53"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19"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9" fillId="2" borderId="102" xfId="0" applyFont="1" applyFill="1" applyBorder="1" applyAlignment="1">
      <alignment horizontal="center" vertical="center" wrapText="1"/>
    </xf>
    <xf numFmtId="0" fontId="9" fillId="2" borderId="103" xfId="0" applyFont="1" applyFill="1" applyBorder="1" applyAlignment="1">
      <alignment horizontal="center" vertical="center" wrapText="1"/>
    </xf>
    <xf numFmtId="0" fontId="0" fillId="2" borderId="6" xfId="0" applyFill="1" applyBorder="1" applyAlignment="1">
      <alignment horizontal="center" vertical="center" wrapText="1"/>
    </xf>
    <xf numFmtId="0" fontId="0" fillId="2" borderId="96" xfId="0" applyFill="1" applyBorder="1" applyAlignment="1">
      <alignment horizontal="center" vertical="center" wrapText="1"/>
    </xf>
    <xf numFmtId="0" fontId="0" fillId="2" borderId="13" xfId="0" applyFill="1" applyBorder="1" applyAlignment="1">
      <alignment horizontal="center" vertical="center" wrapText="1"/>
    </xf>
    <xf numFmtId="0" fontId="0" fillId="2" borderId="83" xfId="0" applyFill="1" applyBorder="1" applyAlignment="1">
      <alignment horizontal="center" vertical="center" wrapText="1"/>
    </xf>
    <xf numFmtId="49" fontId="11" fillId="8" borderId="18" xfId="0" applyNumberFormat="1" applyFont="1" applyFill="1" applyBorder="1" applyAlignment="1" applyProtection="1">
      <alignment horizontal="left"/>
      <protection locked="0"/>
    </xf>
    <xf numFmtId="49" fontId="11" fillId="8" borderId="37" xfId="0" applyNumberFormat="1" applyFont="1" applyFill="1" applyBorder="1" applyAlignment="1" applyProtection="1">
      <alignment horizontal="left"/>
      <protection locked="0"/>
    </xf>
    <xf numFmtId="49" fontId="11" fillId="8" borderId="88" xfId="0" applyNumberFormat="1" applyFont="1" applyFill="1" applyBorder="1" applyAlignment="1" applyProtection="1">
      <alignment horizontal="left"/>
      <protection locked="0"/>
    </xf>
    <xf numFmtId="49" fontId="11" fillId="8" borderId="56" xfId="0" applyNumberFormat="1" applyFont="1" applyFill="1" applyBorder="1" applyAlignment="1" applyProtection="1">
      <alignment horizontal="left"/>
      <protection locked="0"/>
    </xf>
    <xf numFmtId="49" fontId="11" fillId="8" borderId="90" xfId="0" applyNumberFormat="1" applyFont="1" applyFill="1" applyBorder="1" applyAlignment="1" applyProtection="1">
      <alignment horizontal="left"/>
      <protection locked="0"/>
    </xf>
    <xf numFmtId="49" fontId="11" fillId="8" borderId="98" xfId="0" applyNumberFormat="1" applyFont="1" applyFill="1" applyBorder="1" applyAlignment="1" applyProtection="1">
      <alignment horizontal="left"/>
      <protection locked="0"/>
    </xf>
    <xf numFmtId="0" fontId="11" fillId="2" borderId="34" xfId="0" applyFont="1" applyFill="1" applyBorder="1" applyAlignment="1">
      <alignment horizontal="center" vertical="center" wrapText="1"/>
    </xf>
    <xf numFmtId="0" fontId="11" fillId="2" borderId="17" xfId="0" applyFont="1" applyFill="1" applyBorder="1" applyAlignment="1">
      <alignment horizontal="center" vertical="center" wrapText="1"/>
    </xf>
    <xf numFmtId="0" fontId="11" fillId="2" borderId="104" xfId="0" applyFont="1" applyFill="1" applyBorder="1" applyAlignment="1">
      <alignment horizontal="center" vertical="center" wrapText="1"/>
    </xf>
    <xf numFmtId="0" fontId="18" fillId="2" borderId="34" xfId="0" applyFont="1" applyFill="1" applyBorder="1" applyAlignment="1">
      <alignment horizontal="center" vertical="center" wrapText="1"/>
    </xf>
    <xf numFmtId="0" fontId="8" fillId="2" borderId="17" xfId="0" applyFont="1" applyFill="1" applyBorder="1" applyAlignment="1">
      <alignment horizontal="center" vertical="center" wrapText="1"/>
    </xf>
    <xf numFmtId="0" fontId="8" fillId="2" borderId="104" xfId="0" applyFont="1" applyFill="1" applyBorder="1" applyAlignment="1">
      <alignment horizontal="center" vertical="center" wrapText="1"/>
    </xf>
    <xf numFmtId="0" fontId="9" fillId="2" borderId="34" xfId="0" applyFont="1" applyFill="1" applyBorder="1" applyAlignment="1">
      <alignment horizontal="center" vertical="center" wrapText="1"/>
    </xf>
    <xf numFmtId="0" fontId="9" fillId="2" borderId="73" xfId="0" applyFont="1" applyFill="1" applyBorder="1" applyAlignment="1">
      <alignment horizontal="center" vertical="center" wrapText="1"/>
    </xf>
    <xf numFmtId="0" fontId="9" fillId="2" borderId="76" xfId="0" applyFont="1" applyFill="1" applyBorder="1" applyAlignment="1">
      <alignment horizontal="center" vertical="center" wrapText="1"/>
    </xf>
    <xf numFmtId="0" fontId="9" fillId="2" borderId="18" xfId="0" applyFont="1" applyFill="1" applyBorder="1" applyAlignment="1">
      <alignment horizontal="center" vertical="center" wrapText="1"/>
    </xf>
    <xf numFmtId="0" fontId="8" fillId="2" borderId="53"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105" xfId="0" applyFont="1" applyFill="1" applyBorder="1" applyAlignment="1">
      <alignment horizontal="center" vertical="center"/>
    </xf>
    <xf numFmtId="0" fontId="8" fillId="2" borderId="27" xfId="0" applyFont="1" applyFill="1" applyBorder="1" applyAlignment="1">
      <alignment horizontal="center" vertical="center" wrapText="1"/>
    </xf>
    <xf numFmtId="0" fontId="8" fillId="2" borderId="22" xfId="0" applyFont="1" applyFill="1" applyBorder="1" applyAlignment="1">
      <alignment horizontal="center" vertical="center" wrapText="1"/>
    </xf>
    <xf numFmtId="0" fontId="8" fillId="2" borderId="106" xfId="0" applyFont="1" applyFill="1" applyBorder="1" applyAlignment="1">
      <alignment horizontal="center" vertical="center"/>
    </xf>
    <xf numFmtId="0" fontId="8" fillId="2" borderId="42" xfId="0" applyFont="1" applyFill="1" applyBorder="1" applyAlignment="1">
      <alignment horizontal="center" vertical="center"/>
    </xf>
    <xf numFmtId="0" fontId="11" fillId="2" borderId="25" xfId="0" applyFont="1" applyFill="1" applyBorder="1" applyAlignment="1">
      <alignment horizontal="center" vertical="center" wrapText="1"/>
    </xf>
    <xf numFmtId="0" fontId="8" fillId="2" borderId="103"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76" xfId="0" applyFont="1" applyFill="1" applyBorder="1" applyAlignment="1">
      <alignment horizontal="center" vertical="center"/>
    </xf>
    <xf numFmtId="0" fontId="11" fillId="2" borderId="98" xfId="0" applyFont="1" applyFill="1" applyBorder="1" applyAlignment="1">
      <alignment horizontal="center" vertical="center" wrapText="1"/>
    </xf>
    <xf numFmtId="0" fontId="11" fillId="2" borderId="90" xfId="0" applyFont="1" applyFill="1" applyBorder="1" applyAlignment="1">
      <alignment horizontal="center" vertical="center" wrapText="1"/>
    </xf>
    <xf numFmtId="0" fontId="8" fillId="2" borderId="3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33" xfId="0" applyFont="1" applyFill="1" applyBorder="1" applyAlignment="1">
      <alignment horizontal="center" vertical="center"/>
    </xf>
    <xf numFmtId="0" fontId="8" fillId="2" borderId="101" xfId="0" applyFont="1" applyFill="1" applyBorder="1" applyAlignment="1">
      <alignment horizontal="center" vertical="center"/>
    </xf>
    <xf numFmtId="0" fontId="8" fillId="2" borderId="8" xfId="0" applyFont="1" applyFill="1" applyBorder="1" applyAlignment="1">
      <alignment horizontal="center" vertical="center"/>
    </xf>
    <xf numFmtId="0" fontId="8" fillId="2" borderId="29" xfId="0" applyFont="1" applyFill="1" applyBorder="1" applyAlignment="1">
      <alignment horizontal="center" vertical="center"/>
    </xf>
    <xf numFmtId="0" fontId="8" fillId="2" borderId="24" xfId="0" applyFont="1" applyFill="1" applyBorder="1" applyAlignment="1">
      <alignment horizontal="center"/>
    </xf>
    <xf numFmtId="0" fontId="8" fillId="2" borderId="14" xfId="0" applyFont="1" applyFill="1" applyBorder="1" applyAlignment="1">
      <alignment horizontal="center"/>
    </xf>
    <xf numFmtId="0" fontId="8" fillId="8" borderId="55" xfId="0" applyFont="1" applyFill="1" applyBorder="1" applyAlignment="1" applyProtection="1">
      <alignment horizontal="center" vertical="center" wrapText="1"/>
      <protection locked="0"/>
    </xf>
    <xf numFmtId="0" fontId="8" fillId="8" borderId="98" xfId="0" applyFont="1" applyFill="1" applyBorder="1" applyAlignment="1" applyProtection="1">
      <alignment horizontal="center" vertical="center" wrapText="1"/>
      <protection locked="0"/>
    </xf>
    <xf numFmtId="0" fontId="9" fillId="2" borderId="74"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75" xfId="0" applyFont="1" applyFill="1" applyBorder="1" applyAlignment="1">
      <alignment horizontal="center" vertical="center" wrapText="1"/>
    </xf>
    <xf numFmtId="0" fontId="9" fillId="2" borderId="69" xfId="0" applyFont="1" applyFill="1" applyBorder="1" applyAlignment="1">
      <alignment horizontal="center" vertical="center" wrapText="1"/>
    </xf>
    <xf numFmtId="0" fontId="9" fillId="2" borderId="77" xfId="0" applyFont="1" applyFill="1" applyBorder="1" applyAlignment="1">
      <alignment horizontal="center" vertical="center" wrapText="1"/>
    </xf>
    <xf numFmtId="0" fontId="8" fillId="8" borderId="31" xfId="0" applyFont="1" applyFill="1" applyBorder="1" applyAlignment="1" applyProtection="1">
      <alignment horizontal="center" vertical="center" wrapText="1"/>
      <protection locked="0"/>
    </xf>
    <xf numFmtId="0" fontId="8" fillId="8" borderId="58" xfId="0" applyFont="1" applyFill="1" applyBorder="1" applyAlignment="1" applyProtection="1">
      <alignment horizontal="center" vertical="center" wrapText="1"/>
      <protection locked="0"/>
    </xf>
    <xf numFmtId="0" fontId="8" fillId="8" borderId="18" xfId="0" applyFont="1" applyFill="1" applyBorder="1" applyAlignment="1" applyProtection="1">
      <alignment horizontal="center" vertical="center" wrapText="1"/>
      <protection locked="0"/>
    </xf>
    <xf numFmtId="0" fontId="8" fillId="8" borderId="37" xfId="0" applyFont="1" applyFill="1" applyBorder="1" applyAlignment="1" applyProtection="1">
      <alignment horizontal="center" vertical="center" wrapText="1"/>
      <protection locked="0"/>
    </xf>
    <xf numFmtId="0" fontId="8" fillId="8" borderId="57" xfId="0" applyFont="1" applyFill="1" applyBorder="1" applyAlignment="1" applyProtection="1">
      <alignment horizontal="center" vertical="center" wrapText="1"/>
      <protection locked="0"/>
    </xf>
    <xf numFmtId="0" fontId="8" fillId="8" borderId="42" xfId="0" applyFont="1" applyFill="1" applyBorder="1" applyAlignment="1" applyProtection="1">
      <alignment horizontal="center" vertical="center" wrapText="1"/>
      <protection locked="0"/>
    </xf>
    <xf numFmtId="0" fontId="8" fillId="3" borderId="6" xfId="0" applyFont="1" applyFill="1" applyBorder="1" applyAlignment="1">
      <alignment horizontal="center" vertical="center" wrapText="1"/>
    </xf>
    <xf numFmtId="0" fontId="8" fillId="3" borderId="28" xfId="0" applyFont="1" applyFill="1" applyBorder="1" applyAlignment="1">
      <alignment horizontal="center" vertical="center" wrapText="1"/>
    </xf>
    <xf numFmtId="0" fontId="0" fillId="3" borderId="3" xfId="0" applyFill="1" applyBorder="1" applyAlignment="1">
      <alignment horizontal="center"/>
    </xf>
    <xf numFmtId="0" fontId="8" fillId="2" borderId="108" xfId="0" applyFont="1" applyFill="1" applyBorder="1" applyAlignment="1">
      <alignment horizontal="center" vertical="center" wrapText="1"/>
    </xf>
    <xf numFmtId="0" fontId="8" fillId="2" borderId="94" xfId="0" applyFont="1" applyFill="1" applyBorder="1" applyAlignment="1">
      <alignment horizontal="center" vertical="center" wrapText="1"/>
    </xf>
    <xf numFmtId="0" fontId="8" fillId="2" borderId="43" xfId="0" applyFont="1" applyFill="1" applyBorder="1" applyAlignment="1">
      <alignment horizontal="center" vertical="center" wrapText="1"/>
    </xf>
    <xf numFmtId="0" fontId="8" fillId="2" borderId="44" xfId="0" applyFont="1" applyFill="1" applyBorder="1" applyAlignment="1">
      <alignment horizontal="center" vertical="center" wrapText="1"/>
    </xf>
    <xf numFmtId="0" fontId="8" fillId="2" borderId="26" xfId="0" applyFont="1" applyFill="1" applyBorder="1" applyAlignment="1">
      <alignment horizontal="center" vertical="center" wrapText="1"/>
    </xf>
    <xf numFmtId="0" fontId="8" fillId="5" borderId="106"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109"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13" xfId="0" applyFont="1" applyFill="1" applyBorder="1" applyAlignment="1">
      <alignment horizontal="center" vertical="center" wrapText="1"/>
    </xf>
    <xf numFmtId="0" fontId="8" fillId="5" borderId="101" xfId="0" applyFont="1" applyFill="1" applyBorder="1" applyAlignment="1">
      <alignment horizontal="center" vertical="center" wrapText="1"/>
    </xf>
    <xf numFmtId="0" fontId="8" fillId="2" borderId="91" xfId="0" applyFont="1" applyFill="1" applyBorder="1" applyAlignment="1">
      <alignment horizontal="center" vertical="center" wrapText="1"/>
    </xf>
    <xf numFmtId="0" fontId="8" fillId="2" borderId="86" xfId="0" applyFont="1" applyFill="1" applyBorder="1" applyAlignment="1">
      <alignment horizontal="center" vertical="center" wrapText="1"/>
    </xf>
    <xf numFmtId="0" fontId="8" fillId="3" borderId="0" xfId="0" applyFont="1" applyFill="1" applyAlignment="1">
      <alignment horizontal="center" vertical="center" wrapText="1"/>
    </xf>
    <xf numFmtId="0" fontId="8" fillId="5" borderId="106" xfId="0" applyFont="1" applyFill="1" applyBorder="1" applyAlignment="1">
      <alignment horizontal="center" vertical="center"/>
    </xf>
    <xf numFmtId="0" fontId="8" fillId="5" borderId="42" xfId="0" applyFont="1" applyFill="1" applyBorder="1" applyAlignment="1">
      <alignment horizontal="center" vertical="center"/>
    </xf>
    <xf numFmtId="0" fontId="8" fillId="5" borderId="109" xfId="0" applyFont="1" applyFill="1" applyBorder="1" applyAlignment="1">
      <alignment horizontal="center" vertical="center"/>
    </xf>
    <xf numFmtId="0" fontId="8" fillId="5" borderId="33" xfId="0" applyFont="1" applyFill="1" applyBorder="1" applyAlignment="1">
      <alignment horizontal="center" vertical="center"/>
    </xf>
    <xf numFmtId="0" fontId="8" fillId="5" borderId="13" xfId="0" applyFont="1" applyFill="1" applyBorder="1" applyAlignment="1">
      <alignment horizontal="center" vertical="center"/>
    </xf>
    <xf numFmtId="0" fontId="8" fillId="5" borderId="101" xfId="0" applyFont="1" applyFill="1" applyBorder="1" applyAlignment="1">
      <alignment horizontal="center" vertical="center"/>
    </xf>
    <xf numFmtId="0" fontId="8" fillId="2" borderId="25" xfId="0" applyFont="1" applyFill="1" applyBorder="1" applyAlignment="1">
      <alignment horizontal="center" vertical="center" wrapText="1"/>
    </xf>
    <xf numFmtId="0" fontId="12" fillId="2" borderId="151" xfId="0" applyFont="1" applyFill="1" applyBorder="1" applyAlignment="1">
      <alignment horizontal="center" vertical="center"/>
    </xf>
    <xf numFmtId="0" fontId="7" fillId="2" borderId="7" xfId="0" applyFont="1" applyFill="1" applyBorder="1" applyAlignment="1">
      <alignment horizontal="center" vertical="center"/>
    </xf>
    <xf numFmtId="0" fontId="7" fillId="2" borderId="152" xfId="0" applyFont="1" applyFill="1" applyBorder="1" applyAlignment="1">
      <alignment horizontal="center" vertical="center"/>
    </xf>
    <xf numFmtId="0" fontId="7" fillId="2" borderId="8" xfId="0" applyFont="1" applyFill="1" applyBorder="1" applyAlignment="1">
      <alignment horizontal="center" vertical="center"/>
    </xf>
    <xf numFmtId="0" fontId="7" fillId="2" borderId="0" xfId="0" applyFont="1" applyFill="1" applyAlignment="1">
      <alignment horizontal="center" vertical="center"/>
    </xf>
    <xf numFmtId="0" fontId="7" fillId="2" borderId="29" xfId="0" applyFont="1" applyFill="1" applyBorder="1" applyAlignment="1">
      <alignment horizontal="center" vertical="center"/>
    </xf>
    <xf numFmtId="0" fontId="7" fillId="2" borderId="33" xfId="0" applyFont="1" applyFill="1" applyBorder="1" applyAlignment="1">
      <alignment horizontal="center" vertical="center"/>
    </xf>
    <xf numFmtId="0" fontId="7" fillId="2" borderId="13" xfId="0" applyFont="1" applyFill="1" applyBorder="1" applyAlignment="1">
      <alignment horizontal="center" vertical="center"/>
    </xf>
    <xf numFmtId="0" fontId="7" fillId="2" borderId="101" xfId="0" applyFont="1" applyFill="1" applyBorder="1" applyAlignment="1">
      <alignment horizontal="center" vertical="center"/>
    </xf>
    <xf numFmtId="49" fontId="11" fillId="8" borderId="84" xfId="0" applyNumberFormat="1" applyFont="1" applyFill="1" applyBorder="1" applyAlignment="1" applyProtection="1">
      <alignment horizontal="left"/>
      <protection locked="0"/>
    </xf>
    <xf numFmtId="49" fontId="11" fillId="8" borderId="85" xfId="0" applyNumberFormat="1" applyFont="1" applyFill="1" applyBorder="1" applyAlignment="1" applyProtection="1">
      <alignment horizontal="left"/>
      <protection locked="0"/>
    </xf>
    <xf numFmtId="49" fontId="11" fillId="8" borderId="92" xfId="0" applyNumberFormat="1" applyFont="1" applyFill="1" applyBorder="1" applyAlignment="1" applyProtection="1">
      <alignment horizontal="left"/>
      <protection locked="0"/>
    </xf>
    <xf numFmtId="0" fontId="8" fillId="2" borderId="87" xfId="0" applyFont="1" applyFill="1" applyBorder="1" applyAlignment="1">
      <alignment horizontal="center" vertical="center" wrapText="1"/>
    </xf>
    <xf numFmtId="0" fontId="8" fillId="2" borderId="57" xfId="0" applyFont="1" applyFill="1" applyBorder="1" applyAlignment="1">
      <alignment horizontal="center" vertical="center" wrapText="1"/>
    </xf>
    <xf numFmtId="0" fontId="3" fillId="2" borderId="30" xfId="0" applyFont="1" applyFill="1" applyBorder="1" applyAlignment="1">
      <alignment horizontal="center" vertical="center" wrapText="1"/>
    </xf>
    <xf numFmtId="0" fontId="3" fillId="2" borderId="73" xfId="0" applyFont="1" applyFill="1" applyBorder="1" applyAlignment="1">
      <alignment horizontal="center" vertical="center" wrapText="1"/>
    </xf>
    <xf numFmtId="0" fontId="3" fillId="2" borderId="76" xfId="0" applyFont="1" applyFill="1" applyBorder="1" applyAlignment="1">
      <alignment horizontal="center" vertical="center" wrapText="1"/>
    </xf>
    <xf numFmtId="0" fontId="3" fillId="2" borderId="14" xfId="0" applyFont="1" applyFill="1" applyBorder="1" applyAlignment="1">
      <alignment horizontal="center" vertical="center" wrapText="1"/>
    </xf>
    <xf numFmtId="0" fontId="3" fillId="2" borderId="74" xfId="0" applyFont="1" applyFill="1" applyBorder="1" applyAlignment="1">
      <alignment horizontal="center" vertical="center" wrapText="1"/>
    </xf>
    <xf numFmtId="0" fontId="1" fillId="9" borderId="110" xfId="1" applyFill="1" applyBorder="1" applyAlignment="1">
      <alignment horizontal="left" vertical="center"/>
    </xf>
    <xf numFmtId="0" fontId="1" fillId="9" borderId="72" xfId="1" applyFill="1" applyBorder="1" applyAlignment="1">
      <alignment horizontal="left" vertical="center"/>
    </xf>
    <xf numFmtId="0" fontId="1" fillId="9" borderId="61" xfId="1" applyFill="1" applyBorder="1" applyAlignment="1">
      <alignment horizontal="left" vertical="center"/>
    </xf>
    <xf numFmtId="0" fontId="1" fillId="9" borderId="65" xfId="1" applyFill="1" applyBorder="1" applyAlignment="1">
      <alignment horizontal="left" vertical="center"/>
    </xf>
    <xf numFmtId="0" fontId="1" fillId="9" borderId="110" xfId="1" applyFill="1" applyBorder="1" applyAlignment="1">
      <alignment horizontal="left"/>
    </xf>
    <xf numFmtId="0" fontId="1" fillId="9" borderId="72" xfId="1" applyFill="1" applyBorder="1" applyAlignment="1">
      <alignment horizontal="left"/>
    </xf>
    <xf numFmtId="0" fontId="1" fillId="9" borderId="61" xfId="1" applyFill="1" applyBorder="1" applyAlignment="1">
      <alignment horizontal="left"/>
    </xf>
    <xf numFmtId="0" fontId="1" fillId="9" borderId="65" xfId="1" applyFill="1" applyBorder="1" applyAlignment="1">
      <alignment horizontal="left"/>
    </xf>
    <xf numFmtId="0" fontId="1" fillId="9" borderId="70" xfId="1" applyFill="1" applyBorder="1" applyAlignment="1">
      <alignment horizontal="left"/>
    </xf>
    <xf numFmtId="0" fontId="8" fillId="2" borderId="55" xfId="1" applyFont="1" applyFill="1" applyBorder="1" applyAlignment="1">
      <alignment horizontal="center"/>
    </xf>
    <xf numFmtId="0" fontId="8" fillId="2" borderId="90" xfId="1" applyFont="1" applyFill="1" applyBorder="1" applyAlignment="1">
      <alignment horizontal="center"/>
    </xf>
    <xf numFmtId="0" fontId="8" fillId="2" borderId="89" xfId="1" applyFont="1" applyFill="1" applyBorder="1" applyAlignment="1">
      <alignment horizontal="center"/>
    </xf>
    <xf numFmtId="0" fontId="8" fillId="2" borderId="84" xfId="1" applyFont="1" applyFill="1" applyBorder="1" applyAlignment="1">
      <alignment horizontal="center"/>
    </xf>
    <xf numFmtId="0" fontId="8" fillId="2" borderId="85" xfId="1" applyFont="1" applyFill="1" applyBorder="1" applyAlignment="1">
      <alignment horizontal="center"/>
    </xf>
    <xf numFmtId="0" fontId="8" fillId="2" borderId="92" xfId="1" applyFont="1" applyFill="1" applyBorder="1" applyAlignment="1">
      <alignment horizontal="center"/>
    </xf>
    <xf numFmtId="0" fontId="1" fillId="9" borderId="60" xfId="1" applyFill="1" applyBorder="1" applyAlignment="1">
      <alignment horizontal="center" vertical="center" wrapText="1"/>
    </xf>
    <xf numFmtId="0" fontId="1" fillId="9" borderId="64" xfId="1" applyFill="1" applyBorder="1" applyAlignment="1">
      <alignment horizontal="center" vertical="center" wrapText="1"/>
    </xf>
    <xf numFmtId="0" fontId="4" fillId="12" borderId="110" xfId="1" applyFont="1" applyFill="1" applyBorder="1" applyAlignment="1">
      <alignment horizontal="center"/>
    </xf>
    <xf numFmtId="0" fontId="4" fillId="12" borderId="70" xfId="1" applyFont="1" applyFill="1" applyBorder="1" applyAlignment="1">
      <alignment horizontal="center"/>
    </xf>
    <xf numFmtId="0" fontId="4" fillId="12" borderId="72" xfId="1" applyFont="1" applyFill="1" applyBorder="1" applyAlignment="1">
      <alignment horizontal="center"/>
    </xf>
    <xf numFmtId="0" fontId="1" fillId="9" borderId="66" xfId="1" applyFill="1" applyBorder="1" applyAlignment="1">
      <alignment horizontal="left" vertical="center"/>
    </xf>
    <xf numFmtId="0" fontId="1" fillId="9" borderId="67" xfId="1" applyFill="1" applyBorder="1" applyAlignment="1">
      <alignment horizontal="left" vertical="center"/>
    </xf>
    <xf numFmtId="0" fontId="1" fillId="9" borderId="68" xfId="1" applyFill="1" applyBorder="1" applyAlignment="1">
      <alignment horizontal="left" vertical="center"/>
    </xf>
    <xf numFmtId="0" fontId="1" fillId="7" borderId="66" xfId="1" applyFill="1" applyBorder="1" applyAlignment="1">
      <alignment horizontal="center" vertical="center"/>
    </xf>
    <xf numFmtId="0" fontId="1" fillId="7" borderId="67" xfId="1" applyFill="1" applyBorder="1" applyAlignment="1">
      <alignment horizontal="center" vertical="center"/>
    </xf>
    <xf numFmtId="0" fontId="1" fillId="7" borderId="68" xfId="1" applyFill="1" applyBorder="1" applyAlignment="1">
      <alignment horizontal="center" vertical="center"/>
    </xf>
    <xf numFmtId="0" fontId="7" fillId="9" borderId="60" xfId="1" applyFont="1" applyFill="1" applyBorder="1" applyAlignment="1">
      <alignment horizontal="center" vertical="center"/>
    </xf>
    <xf numFmtId="0" fontId="7" fillId="9" borderId="63" xfId="1" applyFont="1" applyFill="1" applyBorder="1" applyAlignment="1">
      <alignment horizontal="center" vertical="center"/>
    </xf>
    <xf numFmtId="0" fontId="7" fillId="9" borderId="64" xfId="1" applyFont="1" applyFill="1" applyBorder="1" applyAlignment="1">
      <alignment horizontal="center" vertical="center"/>
    </xf>
    <xf numFmtId="0" fontId="1" fillId="9" borderId="66" xfId="1" applyFill="1" applyBorder="1" applyAlignment="1">
      <alignment horizontal="left"/>
    </xf>
    <xf numFmtId="0" fontId="1" fillId="9" borderId="67" xfId="1" applyFill="1" applyBorder="1" applyAlignment="1">
      <alignment horizontal="left"/>
    </xf>
    <xf numFmtId="0" fontId="1" fillId="9" borderId="68" xfId="1" applyFill="1" applyBorder="1" applyAlignment="1">
      <alignment horizontal="left"/>
    </xf>
    <xf numFmtId="0" fontId="1" fillId="0" borderId="0" xfId="1" applyAlignment="1">
      <alignment horizontal="center"/>
    </xf>
    <xf numFmtId="0" fontId="12" fillId="2" borderId="30" xfId="1" applyFont="1" applyFill="1" applyBorder="1" applyAlignment="1">
      <alignment horizontal="center" vertical="center"/>
    </xf>
    <xf numFmtId="0" fontId="12" fillId="2" borderId="6" xfId="1" applyFont="1" applyFill="1" applyBorder="1" applyAlignment="1">
      <alignment horizontal="center" vertical="center"/>
    </xf>
    <xf numFmtId="0" fontId="7" fillId="2" borderId="6" xfId="1" applyFont="1" applyFill="1" applyBorder="1" applyAlignment="1">
      <alignment horizontal="center" vertical="center"/>
    </xf>
    <xf numFmtId="0" fontId="7" fillId="2" borderId="28" xfId="1" applyFont="1" applyFill="1" applyBorder="1" applyAlignment="1">
      <alignment horizontal="center" vertical="center"/>
    </xf>
    <xf numFmtId="0" fontId="7" fillId="2" borderId="8" xfId="1" applyFont="1" applyFill="1" applyBorder="1" applyAlignment="1">
      <alignment horizontal="center" vertical="center"/>
    </xf>
    <xf numFmtId="0" fontId="7" fillId="2" borderId="0" xfId="1" applyFont="1" applyFill="1" applyAlignment="1">
      <alignment horizontal="center" vertical="center"/>
    </xf>
    <xf numFmtId="0" fontId="7" fillId="2" borderId="29" xfId="1" applyFont="1" applyFill="1" applyBorder="1" applyAlignment="1">
      <alignment horizontal="center" vertical="center"/>
    </xf>
    <xf numFmtId="0" fontId="7" fillId="2" borderId="33" xfId="1" applyFont="1" applyFill="1" applyBorder="1" applyAlignment="1">
      <alignment horizontal="center" vertical="center"/>
    </xf>
    <xf numFmtId="0" fontId="7" fillId="2" borderId="13" xfId="1" applyFont="1" applyFill="1" applyBorder="1" applyAlignment="1">
      <alignment horizontal="center" vertical="center"/>
    </xf>
    <xf numFmtId="0" fontId="7" fillId="2" borderId="101" xfId="1" applyFont="1" applyFill="1" applyBorder="1" applyAlignment="1">
      <alignment horizontal="center" vertical="center"/>
    </xf>
    <xf numFmtId="0" fontId="1" fillId="0" borderId="8" xfId="1" applyBorder="1" applyAlignment="1">
      <alignment horizontal="center"/>
    </xf>
    <xf numFmtId="0" fontId="1" fillId="0" borderId="33" xfId="1" applyBorder="1" applyAlignment="1">
      <alignment horizontal="center"/>
    </xf>
    <xf numFmtId="0" fontId="1" fillId="0" borderId="13" xfId="1" applyBorder="1" applyAlignment="1">
      <alignment horizontal="center"/>
    </xf>
    <xf numFmtId="0" fontId="8" fillId="2" borderId="91" xfId="1" applyFont="1" applyFill="1" applyBorder="1" applyAlignment="1">
      <alignment horizontal="center" vertical="center" wrapText="1"/>
    </xf>
    <xf numFmtId="0" fontId="8" fillId="2" borderId="85" xfId="1" applyFont="1" applyFill="1" applyBorder="1" applyAlignment="1">
      <alignment horizontal="center" vertical="center" wrapText="1"/>
    </xf>
    <xf numFmtId="0" fontId="8" fillId="2" borderId="86" xfId="1" applyFont="1" applyFill="1" applyBorder="1" applyAlignment="1">
      <alignment horizontal="center" vertical="center" wrapText="1"/>
    </xf>
    <xf numFmtId="0" fontId="8" fillId="2" borderId="87" xfId="1" applyFont="1" applyFill="1" applyBorder="1" applyAlignment="1">
      <alignment horizontal="center"/>
    </xf>
    <xf numFmtId="0" fontId="8" fillId="2" borderId="37" xfId="1" applyFont="1" applyFill="1" applyBorder="1" applyAlignment="1">
      <alignment horizontal="center"/>
    </xf>
    <xf numFmtId="0" fontId="8" fillId="2" borderId="57" xfId="1" applyFont="1" applyFill="1" applyBorder="1" applyAlignment="1">
      <alignment horizontal="center"/>
    </xf>
    <xf numFmtId="0" fontId="1" fillId="0" borderId="70" xfId="1" applyBorder="1" applyAlignment="1">
      <alignment horizontal="center"/>
    </xf>
    <xf numFmtId="0" fontId="23" fillId="12" borderId="110" xfId="0" applyFont="1" applyFill="1" applyBorder="1" applyAlignment="1">
      <alignment horizontal="center"/>
    </xf>
    <xf numFmtId="0" fontId="23" fillId="12" borderId="70" xfId="0" applyFont="1" applyFill="1" applyBorder="1" applyAlignment="1">
      <alignment horizontal="center"/>
    </xf>
    <xf numFmtId="0" fontId="23" fillId="12" borderId="72" xfId="0" applyFont="1" applyFill="1" applyBorder="1" applyAlignment="1">
      <alignment horizontal="center"/>
    </xf>
    <xf numFmtId="0" fontId="1" fillId="9" borderId="70" xfId="1" applyFill="1" applyBorder="1" applyAlignment="1">
      <alignment horizontal="left" vertical="center"/>
    </xf>
    <xf numFmtId="0" fontId="1" fillId="7" borderId="110" xfId="1" applyFill="1" applyBorder="1" applyAlignment="1">
      <alignment horizontal="center" vertical="center"/>
    </xf>
    <xf numFmtId="0" fontId="1" fillId="7" borderId="70" xfId="1" applyFill="1" applyBorder="1" applyAlignment="1">
      <alignment horizontal="center" vertical="center"/>
    </xf>
    <xf numFmtId="0" fontId="1" fillId="7" borderId="72" xfId="1" applyFill="1" applyBorder="1" applyAlignment="1">
      <alignment horizontal="center" vertical="center"/>
    </xf>
    <xf numFmtId="0" fontId="1" fillId="9" borderId="110" xfId="1" applyFill="1" applyBorder="1" applyAlignment="1">
      <alignment horizontal="center" vertical="center"/>
    </xf>
    <xf numFmtId="0" fontId="1" fillId="9" borderId="70" xfId="1" applyFill="1" applyBorder="1" applyAlignment="1">
      <alignment horizontal="center" vertical="center"/>
    </xf>
    <xf numFmtId="0" fontId="1" fillId="9" borderId="72" xfId="1" applyFill="1" applyBorder="1" applyAlignment="1">
      <alignment horizontal="center" vertical="center"/>
    </xf>
    <xf numFmtId="0" fontId="1" fillId="0" borderId="67" xfId="1" applyBorder="1" applyAlignment="1">
      <alignment horizontal="center"/>
    </xf>
    <xf numFmtId="0" fontId="1" fillId="9" borderId="71" xfId="1" applyFill="1" applyBorder="1" applyAlignment="1">
      <alignment horizontal="left" vertical="center"/>
    </xf>
    <xf numFmtId="0" fontId="1" fillId="9" borderId="110" xfId="1" applyFill="1" applyBorder="1"/>
    <xf numFmtId="0" fontId="1" fillId="9" borderId="70" xfId="1" applyFill="1" applyBorder="1"/>
    <xf numFmtId="0" fontId="1" fillId="9" borderId="72" xfId="1" applyFill="1" applyBorder="1"/>
    <xf numFmtId="0" fontId="1" fillId="0" borderId="70" xfId="1" applyBorder="1" applyAlignment="1">
      <alignment horizontal="center" vertical="center"/>
    </xf>
    <xf numFmtId="0" fontId="3" fillId="9" borderId="110" xfId="1" applyFont="1" applyFill="1" applyBorder="1" applyAlignment="1">
      <alignment horizontal="left" vertical="center"/>
    </xf>
    <xf numFmtId="0" fontId="3" fillId="9" borderId="70" xfId="1" applyFont="1" applyFill="1" applyBorder="1" applyAlignment="1">
      <alignment horizontal="left" vertical="center"/>
    </xf>
    <xf numFmtId="0" fontId="3" fillId="9" borderId="72" xfId="1" applyFont="1" applyFill="1" applyBorder="1" applyAlignment="1">
      <alignment horizontal="left" vertical="center"/>
    </xf>
    <xf numFmtId="0" fontId="5" fillId="12" borderId="110" xfId="1" applyFont="1" applyFill="1" applyBorder="1" applyAlignment="1">
      <alignment horizontal="center"/>
    </xf>
    <xf numFmtId="0" fontId="5" fillId="12" borderId="70" xfId="1" applyFont="1" applyFill="1" applyBorder="1" applyAlignment="1">
      <alignment horizontal="center"/>
    </xf>
    <xf numFmtId="0" fontId="5" fillId="12" borderId="72" xfId="1" applyFont="1" applyFill="1" applyBorder="1" applyAlignment="1">
      <alignment horizontal="center"/>
    </xf>
    <xf numFmtId="0" fontId="1" fillId="9" borderId="110" xfId="1" applyFill="1" applyBorder="1" applyAlignment="1">
      <alignment horizontal="center" vertical="center" wrapText="1"/>
    </xf>
    <xf numFmtId="0" fontId="1" fillId="9" borderId="70" xfId="1" applyFill="1" applyBorder="1" applyAlignment="1">
      <alignment horizontal="center" vertical="center" wrapText="1"/>
    </xf>
    <xf numFmtId="0" fontId="1" fillId="9" borderId="72" xfId="1" applyFill="1" applyBorder="1" applyAlignment="1">
      <alignment horizontal="center" vertical="center" wrapText="1"/>
    </xf>
    <xf numFmtId="0" fontId="1" fillId="7" borderId="110" xfId="1" applyFill="1" applyBorder="1" applyAlignment="1">
      <alignment horizontal="center" vertical="center" wrapText="1"/>
    </xf>
    <xf numFmtId="0" fontId="1" fillId="7" borderId="70" xfId="1" applyFill="1" applyBorder="1" applyAlignment="1">
      <alignment horizontal="center" vertical="center" wrapText="1"/>
    </xf>
    <xf numFmtId="0" fontId="1" fillId="7" borderId="72" xfId="1" applyFill="1" applyBorder="1" applyAlignment="1">
      <alignment horizontal="center" vertical="center" wrapText="1"/>
    </xf>
    <xf numFmtId="0" fontId="22" fillId="0" borderId="71" xfId="1" applyFont="1" applyBorder="1" applyAlignment="1">
      <alignment horizontal="center" vertical="center"/>
    </xf>
    <xf numFmtId="0" fontId="22" fillId="0" borderId="67" xfId="1" applyFont="1" applyBorder="1" applyAlignment="1">
      <alignment horizontal="center" vertical="center"/>
    </xf>
    <xf numFmtId="0" fontId="5" fillId="12" borderId="110" xfId="1" applyFont="1" applyFill="1" applyBorder="1" applyAlignment="1">
      <alignment horizontal="center" vertical="center"/>
    </xf>
    <xf numFmtId="0" fontId="5" fillId="12" borderId="70" xfId="1" applyFont="1" applyFill="1" applyBorder="1" applyAlignment="1">
      <alignment horizontal="center" vertical="center"/>
    </xf>
    <xf numFmtId="0" fontId="5" fillId="12" borderId="72" xfId="1" applyFont="1" applyFill="1" applyBorder="1" applyAlignment="1">
      <alignment horizontal="center" vertical="center"/>
    </xf>
    <xf numFmtId="0" fontId="1" fillId="9" borderId="46" xfId="1" applyFill="1" applyBorder="1" applyAlignment="1">
      <alignment horizontal="left" vertical="center"/>
    </xf>
    <xf numFmtId="0" fontId="6" fillId="8" borderId="110" xfId="1" applyFont="1" applyFill="1" applyBorder="1" applyAlignment="1">
      <alignment horizontal="center" vertical="center" wrapText="1"/>
    </xf>
    <xf numFmtId="0" fontId="6" fillId="8" borderId="70" xfId="1" applyFont="1" applyFill="1" applyBorder="1" applyAlignment="1">
      <alignment horizontal="center" vertical="center" wrapText="1"/>
    </xf>
    <xf numFmtId="0" fontId="6" fillId="8" borderId="72" xfId="1" applyFont="1" applyFill="1" applyBorder="1" applyAlignment="1">
      <alignment horizontal="center" vertical="center" wrapText="1"/>
    </xf>
    <xf numFmtId="0" fontId="6" fillId="8" borderId="61" xfId="1" applyFont="1" applyFill="1" applyBorder="1" applyAlignment="1" applyProtection="1">
      <alignment horizontal="center" vertical="top" wrapText="1"/>
      <protection locked="0"/>
    </xf>
    <xf numFmtId="0" fontId="6" fillId="8" borderId="71" xfId="1" applyFont="1" applyFill="1" applyBorder="1" applyAlignment="1" applyProtection="1">
      <alignment horizontal="center" vertical="top" wrapText="1"/>
      <protection locked="0"/>
    </xf>
    <xf numFmtId="0" fontId="6" fillId="8" borderId="65" xfId="1" applyFont="1" applyFill="1" applyBorder="1" applyAlignment="1" applyProtection="1">
      <alignment horizontal="center" vertical="top" wrapText="1"/>
      <protection locked="0"/>
    </xf>
    <xf numFmtId="0" fontId="6" fillId="8" borderId="45" xfId="1" applyFont="1" applyFill="1" applyBorder="1" applyAlignment="1" applyProtection="1">
      <alignment horizontal="center" vertical="top" wrapText="1"/>
      <protection locked="0"/>
    </xf>
    <xf numFmtId="0" fontId="6" fillId="8" borderId="0" xfId="1" applyFont="1" applyFill="1" applyAlignment="1" applyProtection="1">
      <alignment horizontal="center" vertical="top" wrapText="1"/>
      <protection locked="0"/>
    </xf>
    <xf numFmtId="0" fontId="6" fillId="8" borderId="62" xfId="1" applyFont="1" applyFill="1" applyBorder="1" applyAlignment="1" applyProtection="1">
      <alignment horizontal="center" vertical="top" wrapText="1"/>
      <protection locked="0"/>
    </xf>
    <xf numFmtId="0" fontId="6" fillId="8" borderId="66" xfId="1" applyFont="1" applyFill="1" applyBorder="1" applyAlignment="1" applyProtection="1">
      <alignment horizontal="center" vertical="top" wrapText="1"/>
      <protection locked="0"/>
    </xf>
    <xf numFmtId="0" fontId="6" fillId="8" borderId="67" xfId="1" applyFont="1" applyFill="1" applyBorder="1" applyAlignment="1" applyProtection="1">
      <alignment horizontal="center" vertical="top" wrapText="1"/>
      <protection locked="0"/>
    </xf>
    <xf numFmtId="0" fontId="6" fillId="8" borderId="68" xfId="1" applyFont="1" applyFill="1" applyBorder="1" applyAlignment="1" applyProtection="1">
      <alignment horizontal="center" vertical="top" wrapText="1"/>
      <protection locked="0"/>
    </xf>
    <xf numFmtId="0" fontId="3" fillId="9" borderId="110" xfId="1" applyFont="1" applyFill="1" applyBorder="1" applyAlignment="1">
      <alignment horizontal="left" vertical="center" wrapText="1"/>
    </xf>
    <xf numFmtId="0" fontId="1" fillId="9" borderId="70" xfId="1" applyFill="1" applyBorder="1" applyAlignment="1">
      <alignment horizontal="left" vertical="center" wrapText="1"/>
    </xf>
    <xf numFmtId="0" fontId="1" fillId="9" borderId="72" xfId="1" applyFill="1" applyBorder="1" applyAlignment="1">
      <alignment horizontal="left" vertical="center" wrapText="1"/>
    </xf>
    <xf numFmtId="0" fontId="4" fillId="0" borderId="0" xfId="1" applyFont="1" applyAlignment="1">
      <alignment horizontal="center" vertical="center"/>
    </xf>
    <xf numFmtId="0" fontId="4" fillId="9" borderId="46" xfId="1" applyFont="1" applyFill="1" applyBorder="1" applyAlignment="1">
      <alignment horizontal="center" vertical="center"/>
    </xf>
    <xf numFmtId="0" fontId="7" fillId="9" borderId="46" xfId="1" applyFont="1" applyFill="1" applyBorder="1" applyAlignment="1">
      <alignment horizontal="center" vertical="center"/>
    </xf>
    <xf numFmtId="0" fontId="7" fillId="9" borderId="110" xfId="1" applyFont="1" applyFill="1" applyBorder="1" applyAlignment="1">
      <alignment horizontal="center" vertical="center"/>
    </xf>
    <xf numFmtId="0" fontId="16" fillId="13" borderId="61" xfId="1" applyFont="1" applyFill="1" applyBorder="1" applyAlignment="1">
      <alignment horizontal="center" vertical="center" wrapText="1"/>
    </xf>
    <xf numFmtId="0" fontId="16" fillId="13" borderId="71" xfId="1" applyFont="1" applyFill="1" applyBorder="1" applyAlignment="1">
      <alignment horizontal="center" vertical="center" wrapText="1"/>
    </xf>
    <xf numFmtId="0" fontId="16" fillId="13" borderId="65" xfId="1" applyFont="1" applyFill="1" applyBorder="1" applyAlignment="1">
      <alignment horizontal="center" vertical="center" wrapText="1"/>
    </xf>
    <xf numFmtId="0" fontId="16" fillId="13" borderId="45" xfId="1" applyFont="1" applyFill="1" applyBorder="1" applyAlignment="1">
      <alignment horizontal="center" vertical="center" wrapText="1"/>
    </xf>
    <xf numFmtId="0" fontId="16" fillId="13" borderId="0" xfId="1" applyFont="1" applyFill="1" applyAlignment="1">
      <alignment horizontal="center" vertical="center" wrapText="1"/>
    </xf>
    <xf numFmtId="0" fontId="16" fillId="13" borderId="62" xfId="1" applyFont="1" applyFill="1" applyBorder="1" applyAlignment="1">
      <alignment horizontal="center" vertical="center" wrapText="1"/>
    </xf>
    <xf numFmtId="0" fontId="16" fillId="13" borderId="66" xfId="1" applyFont="1" applyFill="1" applyBorder="1" applyAlignment="1">
      <alignment horizontal="center" vertical="center" wrapText="1"/>
    </xf>
    <xf numFmtId="0" fontId="16" fillId="13" borderId="67" xfId="1" applyFont="1" applyFill="1" applyBorder="1" applyAlignment="1">
      <alignment horizontal="center" vertical="center" wrapText="1"/>
    </xf>
    <xf numFmtId="0" fontId="16" fillId="13" borderId="68" xfId="1" applyFont="1" applyFill="1" applyBorder="1" applyAlignment="1">
      <alignment horizontal="center" vertical="center" wrapText="1"/>
    </xf>
    <xf numFmtId="0" fontId="4" fillId="9" borderId="61" xfId="1" applyFont="1" applyFill="1" applyBorder="1" applyAlignment="1">
      <alignment horizontal="center" vertical="center"/>
    </xf>
    <xf numFmtId="0" fontId="4" fillId="9" borderId="65" xfId="1" applyFont="1" applyFill="1" applyBorder="1" applyAlignment="1">
      <alignment horizontal="center" vertical="center"/>
    </xf>
    <xf numFmtId="0" fontId="4" fillId="9" borderId="45" xfId="1" applyFont="1" applyFill="1" applyBorder="1" applyAlignment="1">
      <alignment horizontal="center" vertical="center"/>
    </xf>
    <xf numFmtId="0" fontId="4" fillId="9" borderId="62" xfId="1" applyFont="1" applyFill="1" applyBorder="1" applyAlignment="1">
      <alignment horizontal="center" vertical="center"/>
    </xf>
    <xf numFmtId="0" fontId="4" fillId="9" borderId="66" xfId="1" applyFont="1" applyFill="1" applyBorder="1" applyAlignment="1">
      <alignment horizontal="center" vertical="center"/>
    </xf>
    <xf numFmtId="0" fontId="4" fillId="9" borderId="68" xfId="1" applyFont="1" applyFill="1" applyBorder="1" applyAlignment="1">
      <alignment horizontal="center" vertical="center"/>
    </xf>
    <xf numFmtId="0" fontId="1" fillId="9" borderId="60" xfId="1" applyFill="1" applyBorder="1" applyAlignment="1">
      <alignment horizontal="center" vertical="center"/>
    </xf>
    <xf numFmtId="0" fontId="1" fillId="9" borderId="64" xfId="1" applyFill="1" applyBorder="1" applyAlignment="1">
      <alignment horizontal="center" vertical="center"/>
    </xf>
    <xf numFmtId="0" fontId="1" fillId="9" borderId="63" xfId="1" applyFill="1" applyBorder="1" applyAlignment="1">
      <alignment horizontal="center" vertical="center"/>
    </xf>
    <xf numFmtId="0" fontId="8" fillId="8" borderId="18" xfId="0" applyFont="1" applyFill="1" applyBorder="1" applyAlignment="1" applyProtection="1">
      <alignment horizontal="center"/>
      <protection locked="0"/>
    </xf>
    <xf numFmtId="0" fontId="8" fillId="8" borderId="37" xfId="0" applyFont="1" applyFill="1" applyBorder="1" applyAlignment="1" applyProtection="1">
      <alignment horizontal="center"/>
      <protection locked="0"/>
    </xf>
    <xf numFmtId="0" fontId="8" fillId="8" borderId="57" xfId="0" applyFont="1" applyFill="1" applyBorder="1" applyAlignment="1" applyProtection="1">
      <alignment horizontal="center"/>
      <protection locked="0"/>
    </xf>
    <xf numFmtId="0" fontId="8" fillId="8" borderId="56" xfId="0" applyFont="1" applyFill="1" applyBorder="1" applyAlignment="1" applyProtection="1">
      <alignment horizontal="center"/>
      <protection locked="0"/>
    </xf>
    <xf numFmtId="0" fontId="8" fillId="8" borderId="90" xfId="0" applyFont="1" applyFill="1" applyBorder="1" applyAlignment="1" applyProtection="1">
      <alignment horizontal="center"/>
      <protection locked="0"/>
    </xf>
    <xf numFmtId="0" fontId="8" fillId="8" borderId="89" xfId="0" applyFont="1" applyFill="1" applyBorder="1" applyAlignment="1" applyProtection="1">
      <alignment horizontal="center"/>
      <protection locked="0"/>
    </xf>
    <xf numFmtId="0" fontId="8" fillId="2" borderId="35" xfId="0" applyFont="1" applyFill="1" applyBorder="1" applyAlignment="1">
      <alignment horizontal="center" vertical="center"/>
    </xf>
    <xf numFmtId="0" fontId="8" fillId="2" borderId="36" xfId="0" applyFont="1" applyFill="1" applyBorder="1" applyAlignment="1">
      <alignment horizontal="center" vertical="center"/>
    </xf>
    <xf numFmtId="0" fontId="9" fillId="2" borderId="84" xfId="0" applyFont="1" applyFill="1" applyBorder="1" applyAlignment="1">
      <alignment horizontal="center" vertical="center" wrapText="1"/>
    </xf>
    <xf numFmtId="0" fontId="7" fillId="2" borderId="23" xfId="0" applyFont="1" applyFill="1" applyBorder="1" applyAlignment="1">
      <alignment horizontal="center" vertical="center" wrapText="1"/>
    </xf>
    <xf numFmtId="0" fontId="7" fillId="2" borderId="24" xfId="0" applyFont="1" applyFill="1" applyBorder="1" applyAlignment="1">
      <alignment horizontal="center" vertical="center" wrapText="1"/>
    </xf>
    <xf numFmtId="0" fontId="21" fillId="2" borderId="10" xfId="0" applyFont="1" applyFill="1" applyBorder="1" applyAlignment="1">
      <alignment horizontal="center" vertical="center" wrapText="1"/>
    </xf>
    <xf numFmtId="0" fontId="7" fillId="2" borderId="97" xfId="0" applyFont="1" applyFill="1" applyBorder="1" applyAlignment="1">
      <alignment horizontal="center" vertical="center" wrapText="1"/>
    </xf>
    <xf numFmtId="0" fontId="7" fillId="2" borderId="14"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7" fillId="2" borderId="10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96" xfId="0" applyFont="1" applyFill="1" applyBorder="1" applyAlignment="1">
      <alignment horizontal="center" vertical="center" wrapText="1"/>
    </xf>
    <xf numFmtId="0" fontId="7" fillId="2" borderId="76" xfId="0" applyFont="1" applyFill="1" applyBorder="1" applyAlignment="1">
      <alignment horizontal="center" vertical="center" wrapText="1"/>
    </xf>
    <xf numFmtId="0" fontId="7" fillId="2" borderId="69" xfId="0" applyFont="1" applyFill="1" applyBorder="1" applyAlignment="1">
      <alignment horizontal="center" vertical="center" wrapText="1"/>
    </xf>
    <xf numFmtId="0" fontId="7" fillId="2" borderId="77" xfId="0" applyFont="1" applyFill="1" applyBorder="1" applyAlignment="1">
      <alignment horizontal="center" vertical="center" wrapText="1"/>
    </xf>
    <xf numFmtId="0" fontId="8" fillId="10" borderId="18" xfId="0" applyFont="1" applyFill="1" applyBorder="1" applyAlignment="1">
      <alignment horizontal="center" vertical="center"/>
    </xf>
    <xf numFmtId="0" fontId="8" fillId="10" borderId="37" xfId="0" applyFont="1" applyFill="1" applyBorder="1" applyAlignment="1">
      <alignment horizontal="center" vertical="center"/>
    </xf>
    <xf numFmtId="0" fontId="8" fillId="10" borderId="57" xfId="0" applyFont="1" applyFill="1" applyBorder="1" applyAlignment="1">
      <alignment horizontal="center" vertical="center"/>
    </xf>
    <xf numFmtId="0" fontId="18" fillId="2" borderId="9" xfId="0" applyFont="1" applyFill="1" applyBorder="1" applyAlignment="1">
      <alignment horizontal="center" vertical="center" wrapText="1"/>
    </xf>
    <xf numFmtId="0" fontId="0" fillId="3" borderId="11" xfId="0" applyFill="1" applyBorder="1" applyAlignment="1">
      <alignment horizontal="center"/>
    </xf>
    <xf numFmtId="0" fontId="0" fillId="3" borderId="7" xfId="0" applyFill="1" applyBorder="1" applyAlignment="1">
      <alignment horizontal="center"/>
    </xf>
    <xf numFmtId="0" fontId="0" fillId="3" borderId="78" xfId="0" applyFill="1" applyBorder="1" applyAlignment="1">
      <alignment horizontal="center"/>
    </xf>
    <xf numFmtId="0" fontId="5" fillId="2" borderId="34" xfId="0" applyFont="1" applyFill="1" applyBorder="1" applyAlignment="1">
      <alignment horizontal="center" vertical="center"/>
    </xf>
    <xf numFmtId="0" fontId="5" fillId="2" borderId="17" xfId="0" applyFont="1" applyFill="1" applyBorder="1" applyAlignment="1">
      <alignment horizontal="center" vertical="center"/>
    </xf>
    <xf numFmtId="0" fontId="0" fillId="2" borderId="17" xfId="0" applyFill="1" applyBorder="1" applyAlignment="1">
      <alignment horizontal="center" vertical="center"/>
    </xf>
    <xf numFmtId="0" fontId="0" fillId="2" borderId="95" xfId="0" applyFill="1" applyBorder="1" applyAlignment="1">
      <alignment horizontal="center" vertical="center"/>
    </xf>
    <xf numFmtId="0" fontId="8" fillId="2" borderId="23" xfId="0" applyFont="1" applyFill="1" applyBorder="1" applyAlignment="1">
      <alignment horizontal="center"/>
    </xf>
    <xf numFmtId="0" fontId="8" fillId="2" borderId="86" xfId="0" applyFont="1" applyFill="1" applyBorder="1" applyAlignment="1">
      <alignment horizontal="center"/>
    </xf>
    <xf numFmtId="0" fontId="8" fillId="2" borderId="97" xfId="0" applyFont="1" applyFill="1" applyBorder="1" applyAlignment="1">
      <alignment horizontal="center"/>
    </xf>
    <xf numFmtId="0" fontId="8" fillId="2" borderId="84" xfId="0" applyFont="1" applyFill="1" applyBorder="1" applyAlignment="1">
      <alignment horizontal="center"/>
    </xf>
    <xf numFmtId="0" fontId="8" fillId="2" borderId="85" xfId="0" applyFont="1" applyFill="1" applyBorder="1" applyAlignment="1">
      <alignment horizontal="center"/>
    </xf>
    <xf numFmtId="0" fontId="8" fillId="2" borderId="92" xfId="0" applyFont="1" applyFill="1" applyBorder="1" applyAlignment="1">
      <alignment horizontal="center"/>
    </xf>
    <xf numFmtId="0" fontId="1" fillId="0" borderId="0" xfId="0" applyFont="1" applyAlignment="1">
      <alignment horizontal="center"/>
    </xf>
    <xf numFmtId="0" fontId="0" fillId="0" borderId="0" xfId="0" applyAlignment="1">
      <alignment horizontal="center"/>
    </xf>
    <xf numFmtId="0" fontId="9" fillId="2" borderId="85" xfId="0" applyFont="1" applyFill="1" applyBorder="1" applyAlignment="1">
      <alignment horizontal="center" vertical="center" wrapText="1"/>
    </xf>
    <xf numFmtId="0" fontId="9" fillId="2" borderId="86" xfId="0" applyFont="1" applyFill="1" applyBorder="1" applyAlignment="1">
      <alignment horizontal="center" vertical="center" wrapText="1"/>
    </xf>
    <xf numFmtId="0" fontId="0" fillId="3" borderId="4" xfId="0" applyFill="1" applyBorder="1" applyAlignment="1">
      <alignment horizontal="center"/>
    </xf>
    <xf numFmtId="0" fontId="0" fillId="3" borderId="5" xfId="0" applyFill="1" applyBorder="1" applyAlignment="1">
      <alignment horizontal="center"/>
    </xf>
    <xf numFmtId="0" fontId="0" fillId="3" borderId="2" xfId="0" applyFill="1" applyBorder="1" applyAlignment="1">
      <alignment horizontal="center"/>
    </xf>
    <xf numFmtId="0" fontId="8" fillId="2" borderId="57" xfId="0" applyFont="1" applyFill="1" applyBorder="1" applyAlignment="1">
      <alignment horizontal="center"/>
    </xf>
    <xf numFmtId="0" fontId="21" fillId="2" borderId="9" xfId="0" applyFont="1" applyFill="1" applyBorder="1" applyAlignment="1">
      <alignment horizontal="center" vertical="center" wrapText="1"/>
    </xf>
    <xf numFmtId="0" fontId="8" fillId="2" borderId="55" xfId="0" applyFont="1" applyFill="1" applyBorder="1" applyAlignment="1">
      <alignment horizontal="center"/>
    </xf>
    <xf numFmtId="0" fontId="8" fillId="2" borderId="90" xfId="0" applyFont="1" applyFill="1" applyBorder="1" applyAlignment="1">
      <alignment horizontal="center"/>
    </xf>
    <xf numFmtId="0" fontId="8" fillId="2" borderId="89" xfId="0" applyFont="1" applyFill="1" applyBorder="1" applyAlignment="1">
      <alignment horizontal="center"/>
    </xf>
    <xf numFmtId="0" fontId="8" fillId="2" borderId="18" xfId="0" applyFont="1" applyFill="1" applyBorder="1" applyAlignment="1">
      <alignment horizontal="center"/>
    </xf>
    <xf numFmtId="0" fontId="8" fillId="2" borderId="37" xfId="0" applyFont="1" applyFill="1" applyBorder="1" applyAlignment="1">
      <alignment horizontal="center"/>
    </xf>
    <xf numFmtId="0" fontId="8" fillId="2" borderId="88" xfId="0" applyFont="1" applyFill="1" applyBorder="1" applyAlignment="1">
      <alignment horizontal="center"/>
    </xf>
    <xf numFmtId="0" fontId="8" fillId="2" borderId="56" xfId="0" applyFont="1" applyFill="1" applyBorder="1" applyAlignment="1">
      <alignment horizontal="center"/>
    </xf>
    <xf numFmtId="0" fontId="8" fillId="2" borderId="98" xfId="0" applyFont="1" applyFill="1" applyBorder="1" applyAlignment="1">
      <alignment horizontal="center"/>
    </xf>
    <xf numFmtId="0" fontId="13" fillId="8" borderId="18" xfId="0" applyFont="1" applyFill="1" applyBorder="1" applyAlignment="1" applyProtection="1">
      <alignment horizontal="center" vertical="center" wrapText="1"/>
      <protection locked="0"/>
    </xf>
    <xf numFmtId="0" fontId="13" fillId="8" borderId="57" xfId="0" applyFont="1" applyFill="1" applyBorder="1" applyAlignment="1" applyProtection="1">
      <alignment horizontal="center" vertical="center" wrapText="1"/>
      <protection locked="0"/>
    </xf>
    <xf numFmtId="0" fontId="3" fillId="2" borderId="10" xfId="0" applyFont="1" applyFill="1" applyBorder="1" applyAlignment="1">
      <alignment horizontal="center" vertical="center" wrapText="1"/>
    </xf>
    <xf numFmtId="0" fontId="8" fillId="2" borderId="37" xfId="0" applyFont="1" applyFill="1" applyBorder="1" applyAlignment="1">
      <alignment horizontal="center" vertical="center" wrapText="1"/>
    </xf>
    <xf numFmtId="0" fontId="8" fillId="2" borderId="103" xfId="0" applyFont="1" applyFill="1" applyBorder="1" applyAlignment="1">
      <alignment horizontal="center" vertical="center" wrapText="1"/>
    </xf>
    <xf numFmtId="0" fontId="8" fillId="2" borderId="88" xfId="0" applyFont="1" applyFill="1" applyBorder="1" applyAlignment="1">
      <alignment horizontal="center" vertical="center"/>
    </xf>
    <xf numFmtId="0" fontId="8" fillId="2" borderId="98" xfId="0" applyFont="1" applyFill="1" applyBorder="1" applyAlignment="1">
      <alignment horizontal="center" vertical="center"/>
    </xf>
    <xf numFmtId="0" fontId="0" fillId="3" borderId="0" xfId="0" applyFill="1" applyAlignment="1">
      <alignment horizontal="center" vertical="center"/>
    </xf>
    <xf numFmtId="0" fontId="8" fillId="2" borderId="85" xfId="0" applyFont="1" applyFill="1" applyBorder="1" applyAlignment="1">
      <alignment horizontal="center" vertical="center" wrapText="1"/>
    </xf>
    <xf numFmtId="0" fontId="8" fillId="2" borderId="16" xfId="0" applyFont="1" applyFill="1" applyBorder="1" applyAlignment="1">
      <alignment horizontal="center" vertical="center" wrapText="1"/>
    </xf>
    <xf numFmtId="0" fontId="9" fillId="2" borderId="54" xfId="0" applyFont="1" applyFill="1" applyBorder="1" applyAlignment="1">
      <alignment horizontal="center" vertical="center" wrapText="1"/>
    </xf>
    <xf numFmtId="0" fontId="9" fillId="2" borderId="107" xfId="0" applyFont="1" applyFill="1" applyBorder="1" applyAlignment="1">
      <alignment horizontal="center" vertical="center" wrapText="1"/>
    </xf>
    <xf numFmtId="0" fontId="5" fillId="2" borderId="105" xfId="0" applyFont="1" applyFill="1" applyBorder="1" applyAlignment="1">
      <alignment horizontal="center" vertical="center" wrapText="1"/>
    </xf>
    <xf numFmtId="0" fontId="9" fillId="2" borderId="96" xfId="0" applyFont="1" applyFill="1" applyBorder="1" applyAlignment="1">
      <alignment horizontal="center" vertical="center" wrapText="1"/>
    </xf>
    <xf numFmtId="0" fontId="8" fillId="2" borderId="92" xfId="0" applyFont="1" applyFill="1" applyBorder="1" applyAlignment="1">
      <alignment horizontal="center" vertical="center"/>
    </xf>
    <xf numFmtId="0" fontId="1" fillId="8" borderId="30" xfId="0" applyFont="1" applyFill="1" applyBorder="1" applyAlignment="1">
      <alignment horizontal="center" vertical="center" wrapText="1"/>
    </xf>
    <xf numFmtId="0" fontId="0" fillId="8" borderId="6" xfId="0" applyFill="1" applyBorder="1" applyAlignment="1">
      <alignment horizontal="center" vertical="center" wrapText="1"/>
    </xf>
    <xf numFmtId="0" fontId="0" fillId="8" borderId="28" xfId="0" applyFill="1" applyBorder="1" applyAlignment="1">
      <alignment horizontal="center" vertical="center" wrapText="1"/>
    </xf>
    <xf numFmtId="0" fontId="0" fillId="8" borderId="8" xfId="0" applyFill="1" applyBorder="1" applyAlignment="1">
      <alignment horizontal="center" vertical="center" wrapText="1"/>
    </xf>
    <xf numFmtId="0" fontId="0" fillId="8" borderId="0" xfId="0" applyFill="1" applyAlignment="1">
      <alignment horizontal="center" vertical="center" wrapText="1"/>
    </xf>
    <xf numFmtId="0" fontId="0" fillId="8" borderId="29" xfId="0" applyFill="1" applyBorder="1" applyAlignment="1">
      <alignment horizontal="center" vertical="center" wrapText="1"/>
    </xf>
    <xf numFmtId="0" fontId="0" fillId="8" borderId="33" xfId="0" applyFill="1" applyBorder="1" applyAlignment="1">
      <alignment horizontal="center" vertical="center" wrapText="1"/>
    </xf>
    <xf numFmtId="0" fontId="0" fillId="8" borderId="13" xfId="0" applyFill="1" applyBorder="1" applyAlignment="1">
      <alignment horizontal="center" vertical="center" wrapText="1"/>
    </xf>
    <xf numFmtId="0" fontId="0" fillId="8" borderId="101" xfId="0" applyFill="1" applyBorder="1" applyAlignment="1">
      <alignment horizontal="center" vertical="center" wrapText="1"/>
    </xf>
    <xf numFmtId="0" fontId="8" fillId="10" borderId="18" xfId="0" applyFont="1" applyFill="1" applyBorder="1" applyAlignment="1">
      <alignment horizontal="center" vertical="center" wrapText="1"/>
    </xf>
    <xf numFmtId="0" fontId="8" fillId="10" borderId="57" xfId="0" applyFont="1" applyFill="1" applyBorder="1" applyAlignment="1">
      <alignment horizontal="center" vertical="center" wrapText="1"/>
    </xf>
    <xf numFmtId="0" fontId="13" fillId="8" borderId="56" xfId="0" applyFont="1" applyFill="1" applyBorder="1" applyAlignment="1" applyProtection="1">
      <alignment horizontal="center" vertical="center" wrapText="1"/>
      <protection locked="0"/>
    </xf>
    <xf numFmtId="0" fontId="13" fillId="8" borderId="89" xfId="0" applyFont="1" applyFill="1" applyBorder="1" applyAlignment="1" applyProtection="1">
      <alignment horizontal="center" vertical="center" wrapText="1"/>
      <protection locked="0"/>
    </xf>
    <xf numFmtId="14" fontId="8" fillId="8" borderId="18" xfId="0" applyNumberFormat="1" applyFont="1" applyFill="1" applyBorder="1" applyAlignment="1" applyProtection="1">
      <alignment horizontal="center" vertical="center"/>
      <protection locked="0"/>
    </xf>
    <xf numFmtId="14" fontId="8" fillId="8" borderId="57" xfId="0" applyNumberFormat="1" applyFont="1" applyFill="1" applyBorder="1" applyAlignment="1" applyProtection="1">
      <alignment horizontal="center" vertical="center"/>
      <protection locked="0"/>
    </xf>
    <xf numFmtId="14" fontId="8" fillId="8" borderId="31" xfId="0" applyNumberFormat="1" applyFont="1" applyFill="1" applyBorder="1" applyAlignment="1" applyProtection="1">
      <alignment horizontal="center" vertical="center"/>
      <protection locked="0"/>
    </xf>
    <xf numFmtId="14" fontId="8" fillId="8" borderId="58" xfId="0" applyNumberFormat="1" applyFont="1" applyFill="1" applyBorder="1" applyAlignment="1" applyProtection="1">
      <alignment horizontal="center" vertical="center"/>
      <protection locked="0"/>
    </xf>
    <xf numFmtId="0" fontId="8" fillId="8" borderId="18" xfId="0" applyFont="1" applyFill="1" applyBorder="1" applyAlignment="1" applyProtection="1">
      <alignment horizontal="center" vertical="center"/>
      <protection locked="0"/>
    </xf>
    <xf numFmtId="0" fontId="8" fillId="8" borderId="57" xfId="0" applyFont="1" applyFill="1" applyBorder="1" applyAlignment="1" applyProtection="1">
      <alignment horizontal="center" vertical="center"/>
      <protection locked="0"/>
    </xf>
    <xf numFmtId="0" fontId="8" fillId="2" borderId="86" xfId="0" applyFont="1" applyFill="1" applyBorder="1" applyAlignment="1">
      <alignment horizontal="center" vertical="center"/>
    </xf>
    <xf numFmtId="0" fontId="8" fillId="2" borderId="20" xfId="0" applyFont="1" applyFill="1" applyBorder="1" applyAlignment="1">
      <alignment horizontal="center"/>
    </xf>
    <xf numFmtId="0" fontId="8" fillId="2" borderId="57" xfId="0" applyFont="1" applyFill="1" applyBorder="1" applyAlignment="1">
      <alignment horizontal="center" vertical="center"/>
    </xf>
    <xf numFmtId="0" fontId="8" fillId="2" borderId="21" xfId="0" applyFont="1" applyFill="1" applyBorder="1" applyAlignment="1">
      <alignment horizontal="center"/>
    </xf>
    <xf numFmtId="0" fontId="3" fillId="2" borderId="54" xfId="0" applyFont="1" applyFill="1" applyBorder="1" applyAlignment="1">
      <alignment horizontal="center" vertical="center" wrapText="1"/>
    </xf>
    <xf numFmtId="0" fontId="3" fillId="2" borderId="107" xfId="0" applyFont="1" applyFill="1" applyBorder="1" applyAlignment="1">
      <alignment horizontal="center" vertical="center" wrapText="1"/>
    </xf>
    <xf numFmtId="0" fontId="13" fillId="2" borderId="53" xfId="0" applyFont="1" applyFill="1" applyBorder="1" applyAlignment="1">
      <alignment horizontal="center" vertical="center"/>
    </xf>
    <xf numFmtId="0" fontId="13" fillId="2" borderId="103" xfId="0" applyFont="1" applyFill="1" applyBorder="1" applyAlignment="1">
      <alignment horizontal="center" vertical="center"/>
    </xf>
    <xf numFmtId="0" fontId="13" fillId="2" borderId="105"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76" xfId="0" applyFont="1" applyFill="1" applyBorder="1" applyAlignment="1">
      <alignment horizontal="center" vertical="center"/>
    </xf>
    <xf numFmtId="0" fontId="13" fillId="2" borderId="77" xfId="0" applyFont="1" applyFill="1" applyBorder="1" applyAlignment="1">
      <alignment horizontal="center" vertical="center"/>
    </xf>
    <xf numFmtId="14" fontId="8" fillId="10" borderId="18" xfId="0" applyNumberFormat="1" applyFont="1" applyFill="1" applyBorder="1" applyAlignment="1">
      <alignment horizontal="center" vertical="center"/>
    </xf>
    <xf numFmtId="14" fontId="8" fillId="10" borderId="57" xfId="0" applyNumberFormat="1" applyFont="1" applyFill="1" applyBorder="1" applyAlignment="1">
      <alignment horizontal="center" vertical="center"/>
    </xf>
    <xf numFmtId="0" fontId="1" fillId="5" borderId="49" xfId="0" applyFont="1" applyFill="1" applyBorder="1" applyAlignment="1">
      <alignment horizontal="center" vertical="center" wrapText="1"/>
    </xf>
    <xf numFmtId="0" fontId="0" fillId="5" borderId="14" xfId="0" applyFill="1" applyBorder="1" applyAlignment="1">
      <alignment horizontal="center" vertical="center" wrapText="1"/>
    </xf>
    <xf numFmtId="0" fontId="0" fillId="5" borderId="50" xfId="0" applyFill="1" applyBorder="1" applyAlignment="1">
      <alignment horizontal="center" vertical="center" wrapText="1"/>
    </xf>
    <xf numFmtId="0" fontId="0" fillId="5" borderId="51" xfId="0" applyFill="1" applyBorder="1" applyAlignment="1">
      <alignment horizontal="center" vertical="center" wrapText="1"/>
    </xf>
    <xf numFmtId="0" fontId="0" fillId="5" borderId="48" xfId="0" applyFill="1" applyBorder="1" applyAlignment="1">
      <alignment horizontal="center" vertical="center" wrapText="1"/>
    </xf>
    <xf numFmtId="0" fontId="0" fillId="5" borderId="111" xfId="0" applyFill="1" applyBorder="1" applyAlignment="1">
      <alignment horizontal="center" vertical="center" wrapText="1"/>
    </xf>
    <xf numFmtId="0" fontId="1" fillId="0" borderId="11" xfId="0" applyFont="1" applyBorder="1" applyAlignment="1">
      <alignment horizontal="center" vertical="center" wrapText="1"/>
    </xf>
    <xf numFmtId="0" fontId="0" fillId="0" borderId="7" xfId="0" applyBorder="1" applyAlignment="1">
      <alignment horizontal="center" vertical="center" wrapText="1"/>
    </xf>
    <xf numFmtId="0" fontId="0" fillId="0" borderId="78" xfId="0" applyBorder="1" applyAlignment="1">
      <alignment horizontal="center" vertical="center" wrapText="1"/>
    </xf>
    <xf numFmtId="0" fontId="0" fillId="0" borderId="1" xfId="0" applyBorder="1" applyAlignment="1">
      <alignment horizontal="center" vertical="center" wrapText="1"/>
    </xf>
    <xf numFmtId="0" fontId="0" fillId="0" borderId="0" xfId="0"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0" fillId="0" borderId="5" xfId="0" applyBorder="1" applyAlignment="1">
      <alignment horizontal="center" vertical="center" wrapText="1"/>
    </xf>
    <xf numFmtId="0" fontId="1" fillId="5" borderId="112" xfId="0" applyFont="1" applyFill="1" applyBorder="1" applyAlignment="1">
      <alignment horizontal="center" vertical="center" wrapText="1"/>
    </xf>
    <xf numFmtId="0" fontId="0" fillId="5" borderId="113" xfId="0" applyFill="1" applyBorder="1" applyAlignment="1">
      <alignment horizontal="center" vertical="center" wrapText="1"/>
    </xf>
    <xf numFmtId="0" fontId="0" fillId="5" borderId="114" xfId="0" applyFill="1" applyBorder="1" applyAlignment="1">
      <alignment horizontal="center" vertical="center" wrapText="1"/>
    </xf>
    <xf numFmtId="0" fontId="1" fillId="5" borderId="46" xfId="0" applyFont="1" applyFill="1" applyBorder="1" applyAlignment="1">
      <alignment horizontal="center" vertical="center" wrapText="1"/>
    </xf>
    <xf numFmtId="0" fontId="0" fillId="5" borderId="46" xfId="0" applyFill="1" applyBorder="1" applyAlignment="1">
      <alignment horizontal="center" vertical="center" wrapText="1"/>
    </xf>
    <xf numFmtId="0" fontId="1" fillId="5" borderId="115" xfId="0" applyFont="1" applyFill="1" applyBorder="1" applyAlignment="1">
      <alignment horizontal="center" vertical="center" wrapText="1"/>
    </xf>
    <xf numFmtId="0" fontId="0" fillId="5" borderId="116" xfId="0" applyFill="1" applyBorder="1" applyAlignment="1">
      <alignment horizontal="center" vertical="center" wrapText="1"/>
    </xf>
    <xf numFmtId="0" fontId="0" fillId="5" borderId="49" xfId="0" applyFill="1" applyBorder="1" applyAlignment="1">
      <alignment horizontal="center" vertical="center" wrapText="1"/>
    </xf>
    <xf numFmtId="0" fontId="0" fillId="0" borderId="14" xfId="0" applyBorder="1" applyAlignment="1" applyProtection="1">
      <alignment horizontal="center" vertical="center" wrapText="1"/>
      <protection locked="0"/>
    </xf>
    <xf numFmtId="0" fontId="0" fillId="0" borderId="48" xfId="0" applyBorder="1" applyAlignment="1" applyProtection="1">
      <alignment horizontal="center" vertical="center" wrapText="1"/>
      <protection locked="0"/>
    </xf>
    <xf numFmtId="0" fontId="8" fillId="2" borderId="22" xfId="0" applyFont="1" applyFill="1" applyBorder="1" applyAlignment="1">
      <alignment horizontal="center"/>
    </xf>
    <xf numFmtId="0" fontId="5" fillId="2" borderId="96" xfId="0" applyFont="1" applyFill="1" applyBorder="1" applyAlignment="1">
      <alignment horizontal="center" vertical="center" wrapText="1"/>
    </xf>
    <xf numFmtId="0" fontId="5" fillId="2" borderId="76" xfId="0" applyFont="1" applyFill="1" applyBorder="1" applyAlignment="1">
      <alignment horizontal="center" vertical="center" wrapText="1"/>
    </xf>
    <xf numFmtId="0" fontId="5" fillId="2" borderId="77" xfId="0" applyFont="1" applyFill="1" applyBorder="1" applyAlignment="1">
      <alignment horizontal="center" vertical="center" wrapText="1"/>
    </xf>
    <xf numFmtId="0" fontId="5" fillId="2" borderId="53" xfId="0" applyFont="1" applyFill="1" applyBorder="1" applyAlignment="1">
      <alignment horizontal="center" vertical="center" wrapText="1"/>
    </xf>
    <xf numFmtId="0" fontId="8" fillId="8" borderId="56" xfId="0" applyFont="1" applyFill="1" applyBorder="1" applyAlignment="1" applyProtection="1">
      <alignment horizontal="center" vertical="center" wrapText="1"/>
      <protection locked="0"/>
    </xf>
    <xf numFmtId="0" fontId="8" fillId="8" borderId="89" xfId="0" applyFont="1" applyFill="1" applyBorder="1" applyAlignment="1" applyProtection="1">
      <alignment horizontal="center" vertical="center" wrapText="1"/>
      <protection locked="0"/>
    </xf>
    <xf numFmtId="0" fontId="8" fillId="2" borderId="9" xfId="0" applyFont="1" applyFill="1" applyBorder="1" applyAlignment="1">
      <alignment horizontal="center" vertical="center" wrapText="1"/>
    </xf>
    <xf numFmtId="0" fontId="8" fillId="2" borderId="54" xfId="0" applyFont="1" applyFill="1" applyBorder="1" applyAlignment="1">
      <alignment horizontal="center" vertical="center" wrapText="1"/>
    </xf>
    <xf numFmtId="0" fontId="8" fillId="2" borderId="107" xfId="0" applyFont="1" applyFill="1" applyBorder="1" applyAlignment="1">
      <alignment horizontal="center" vertical="center" wrapText="1"/>
    </xf>
    <xf numFmtId="14" fontId="8" fillId="8" borderId="18" xfId="0" applyNumberFormat="1" applyFont="1" applyFill="1" applyBorder="1" applyAlignment="1" applyProtection="1">
      <alignment horizontal="center"/>
      <protection locked="0"/>
    </xf>
    <xf numFmtId="14" fontId="8" fillId="8" borderId="57" xfId="0" applyNumberFormat="1" applyFont="1" applyFill="1" applyBorder="1" applyAlignment="1" applyProtection="1">
      <alignment horizontal="center"/>
      <protection locked="0"/>
    </xf>
    <xf numFmtId="14" fontId="8" fillId="8" borderId="56" xfId="0" applyNumberFormat="1" applyFont="1" applyFill="1" applyBorder="1" applyAlignment="1" applyProtection="1">
      <alignment horizontal="center"/>
      <protection locked="0"/>
    </xf>
    <xf numFmtId="14" fontId="8" fillId="8" borderId="89" xfId="0" applyNumberFormat="1" applyFont="1" applyFill="1" applyBorder="1" applyAlignment="1" applyProtection="1">
      <alignment horizontal="center"/>
      <protection locked="0"/>
    </xf>
    <xf numFmtId="0" fontId="8" fillId="2" borderId="91" xfId="0" applyFont="1" applyFill="1" applyBorder="1" applyAlignment="1">
      <alignment horizontal="center"/>
    </xf>
    <xf numFmtId="0" fontId="8" fillId="2" borderId="87" xfId="0" applyFont="1" applyFill="1" applyBorder="1" applyAlignment="1">
      <alignment horizontal="center"/>
    </xf>
    <xf numFmtId="0" fontId="13" fillId="2" borderId="105" xfId="0" applyFont="1" applyFill="1" applyBorder="1" applyAlignment="1">
      <alignment horizontal="center" vertical="center" wrapText="1"/>
    </xf>
    <xf numFmtId="0" fontId="13" fillId="2" borderId="96" xfId="0" applyFont="1" applyFill="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8" fillId="3" borderId="0" xfId="0" applyFont="1" applyFill="1" applyAlignment="1">
      <alignment horizontal="center" vertical="center"/>
    </xf>
    <xf numFmtId="0" fontId="8" fillId="3" borderId="4" xfId="0" applyFont="1" applyFill="1" applyBorder="1" applyAlignment="1">
      <alignment horizontal="center" vertical="center"/>
    </xf>
    <xf numFmtId="0" fontId="8" fillId="14" borderId="145" xfId="0" applyFont="1" applyFill="1" applyBorder="1" applyAlignment="1">
      <alignment horizontal="center" vertical="center"/>
    </xf>
    <xf numFmtId="0" fontId="8" fillId="14" borderId="147" xfId="0" applyFont="1" applyFill="1" applyBorder="1" applyAlignment="1">
      <alignment horizontal="center" vertical="center"/>
    </xf>
    <xf numFmtId="0" fontId="8" fillId="14" borderId="146" xfId="0" applyFont="1" applyFill="1" applyBorder="1" applyAlignment="1">
      <alignment horizontal="center" vertical="center"/>
    </xf>
    <xf numFmtId="0" fontId="8" fillId="14" borderId="148" xfId="0" applyFont="1" applyFill="1" applyBorder="1" applyAlignment="1">
      <alignment horizontal="center" vertical="center"/>
    </xf>
    <xf numFmtId="0" fontId="8" fillId="2" borderId="19" xfId="0" applyFont="1" applyFill="1" applyBorder="1" applyAlignment="1">
      <alignment horizontal="center" vertical="center"/>
    </xf>
    <xf numFmtId="0" fontId="8" fillId="2" borderId="8"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29" xfId="0" applyFont="1" applyFill="1" applyBorder="1" applyAlignment="1">
      <alignment horizontal="center" vertical="center" wrapText="1"/>
    </xf>
    <xf numFmtId="0" fontId="5" fillId="2" borderId="95" xfId="0" applyFont="1" applyFill="1" applyBorder="1" applyAlignment="1">
      <alignment horizontal="center" vertical="center"/>
    </xf>
    <xf numFmtId="0" fontId="13" fillId="2" borderId="53" xfId="0" applyFont="1" applyFill="1" applyBorder="1" applyAlignment="1">
      <alignment horizontal="center" vertical="center" wrapText="1"/>
    </xf>
    <xf numFmtId="0" fontId="13" fillId="2" borderId="103" xfId="0" applyFont="1" applyFill="1" applyBorder="1" applyAlignment="1">
      <alignment horizontal="center" vertical="center" wrapText="1"/>
    </xf>
    <xf numFmtId="0" fontId="8" fillId="2" borderId="18" xfId="0" applyFont="1" applyFill="1" applyBorder="1" applyAlignment="1">
      <alignment horizontal="center" vertical="center" wrapText="1"/>
    </xf>
    <xf numFmtId="0" fontId="8" fillId="2" borderId="88" xfId="0" applyFont="1" applyFill="1" applyBorder="1" applyAlignment="1">
      <alignment horizontal="center" vertical="center" wrapText="1"/>
    </xf>
    <xf numFmtId="0" fontId="8" fillId="2" borderId="56" xfId="0" applyFont="1" applyFill="1" applyBorder="1" applyAlignment="1">
      <alignment horizontal="center" vertical="center" wrapText="1"/>
    </xf>
    <xf numFmtId="0" fontId="0" fillId="3" borderId="17" xfId="0" applyFill="1" applyBorder="1" applyAlignment="1">
      <alignment horizontal="center"/>
    </xf>
    <xf numFmtId="0" fontId="8" fillId="2" borderId="84" xfId="0" applyFont="1" applyFill="1" applyBorder="1" applyAlignment="1">
      <alignment horizontal="center" vertical="center" wrapText="1"/>
    </xf>
    <xf numFmtId="0" fontId="8" fillId="2" borderId="92" xfId="0" applyFont="1" applyFill="1" applyBorder="1" applyAlignment="1">
      <alignment horizontal="center" vertical="center" wrapText="1"/>
    </xf>
    <xf numFmtId="0" fontId="0" fillId="2" borderId="18" xfId="0" applyFill="1" applyBorder="1" applyAlignment="1">
      <alignment horizontal="center" vertical="center" wrapText="1"/>
    </xf>
    <xf numFmtId="0" fontId="0" fillId="2" borderId="120" xfId="0" applyFill="1" applyBorder="1" applyAlignment="1">
      <alignment horizontal="center" vertical="center" wrapText="1"/>
    </xf>
    <xf numFmtId="0" fontId="1" fillId="0" borderId="0" xfId="0" applyFont="1" applyAlignment="1">
      <alignment horizontal="center" vertical="center" wrapText="1"/>
    </xf>
    <xf numFmtId="0" fontId="1" fillId="2" borderId="38" xfId="0" applyFont="1" applyFill="1" applyBorder="1" applyAlignment="1">
      <alignment horizontal="center" vertical="center" wrapText="1"/>
    </xf>
    <xf numFmtId="0" fontId="0" fillId="2" borderId="14" xfId="0" applyFill="1" applyBorder="1" applyAlignment="1">
      <alignment horizontal="center" vertical="center" wrapText="1"/>
    </xf>
    <xf numFmtId="0" fontId="0" fillId="2" borderId="38" xfId="0" applyFill="1" applyBorder="1" applyAlignment="1">
      <alignment horizontal="center" vertical="center" wrapText="1"/>
    </xf>
    <xf numFmtId="0" fontId="0" fillId="2" borderId="39" xfId="0" applyFill="1" applyBorder="1" applyAlignment="1">
      <alignment horizontal="center" vertical="center" wrapText="1"/>
    </xf>
    <xf numFmtId="0" fontId="0" fillId="2" borderId="15" xfId="0" applyFill="1" applyBorder="1" applyAlignment="1">
      <alignment horizontal="center" vertical="center" wrapText="1"/>
    </xf>
    <xf numFmtId="0" fontId="0" fillId="2" borderId="121" xfId="0" applyFill="1" applyBorder="1" applyAlignment="1">
      <alignment horizontal="center" vertical="center" wrapText="1"/>
    </xf>
    <xf numFmtId="0" fontId="0" fillId="2" borderId="122" xfId="0" applyFill="1" applyBorder="1" applyAlignment="1">
      <alignment horizontal="center" vertical="center" wrapText="1"/>
    </xf>
    <xf numFmtId="0" fontId="1" fillId="2" borderId="14" xfId="0" applyFont="1" applyFill="1" applyBorder="1" applyAlignment="1">
      <alignment horizontal="center" vertical="center" wrapText="1"/>
    </xf>
    <xf numFmtId="0" fontId="1" fillId="2" borderId="15" xfId="0" applyFont="1" applyFill="1" applyBorder="1" applyAlignment="1">
      <alignment horizontal="center" vertical="center" wrapText="1"/>
    </xf>
    <xf numFmtId="0" fontId="0" fillId="2" borderId="4" xfId="0" applyFill="1" applyBorder="1" applyAlignment="1">
      <alignment horizontal="center" vertical="center"/>
    </xf>
    <xf numFmtId="0" fontId="0" fillId="2" borderId="5" xfId="0" applyFill="1" applyBorder="1" applyAlignment="1">
      <alignment horizontal="center" vertical="center"/>
    </xf>
    <xf numFmtId="0" fontId="8" fillId="2" borderId="11" xfId="0" applyFont="1" applyFill="1" applyBorder="1" applyAlignment="1">
      <alignment horizontal="center" vertical="center"/>
    </xf>
    <xf numFmtId="0" fontId="8" fillId="2" borderId="7" xfId="0" applyFont="1" applyFill="1" applyBorder="1" applyAlignment="1">
      <alignment horizontal="center" vertical="center"/>
    </xf>
    <xf numFmtId="0" fontId="8" fillId="2" borderId="78" xfId="0" applyFont="1" applyFill="1" applyBorder="1" applyAlignment="1">
      <alignment horizontal="center" vertical="center"/>
    </xf>
    <xf numFmtId="0" fontId="8" fillId="2" borderId="1" xfId="0" applyFont="1" applyFill="1" applyBorder="1" applyAlignment="1">
      <alignment horizontal="center" vertical="center"/>
    </xf>
    <xf numFmtId="0" fontId="8" fillId="2" borderId="0" xfId="0" applyFont="1" applyFill="1" applyAlignment="1">
      <alignment horizontal="center" vertical="center"/>
    </xf>
    <xf numFmtId="0" fontId="8" fillId="2" borderId="2" xfId="0" applyFont="1" applyFill="1" applyBorder="1" applyAlignment="1">
      <alignment horizontal="center" vertical="center"/>
    </xf>
    <xf numFmtId="0" fontId="0" fillId="2" borderId="0" xfId="0" applyFill="1" applyAlignment="1">
      <alignment horizontal="center" vertical="center"/>
    </xf>
    <xf numFmtId="0" fontId="0" fillId="2" borderId="2" xfId="0" applyFill="1" applyBorder="1" applyAlignment="1">
      <alignment horizontal="center" vertical="center"/>
    </xf>
    <xf numFmtId="0" fontId="0" fillId="2" borderId="1" xfId="0" applyFill="1" applyBorder="1" applyAlignment="1">
      <alignment horizontal="left"/>
    </xf>
    <xf numFmtId="0" fontId="0" fillId="2" borderId="0" xfId="0" applyFill="1" applyAlignment="1">
      <alignment horizontal="left"/>
    </xf>
    <xf numFmtId="0" fontId="0" fillId="2" borderId="2" xfId="0" applyFill="1" applyBorder="1" applyAlignment="1">
      <alignment horizontal="left"/>
    </xf>
    <xf numFmtId="0" fontId="4" fillId="2" borderId="11"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78" xfId="0" applyFont="1" applyFill="1" applyBorder="1" applyAlignment="1">
      <alignment horizontal="center" vertical="center"/>
    </xf>
    <xf numFmtId="0" fontId="4" fillId="2" borderId="1" xfId="0" applyFont="1" applyFill="1" applyBorder="1" applyAlignment="1">
      <alignment horizontal="center" vertical="center"/>
    </xf>
    <xf numFmtId="0" fontId="4" fillId="2" borderId="0" xfId="0" applyFont="1" applyFill="1" applyAlignment="1">
      <alignment horizontal="center" vertical="center"/>
    </xf>
    <xf numFmtId="0" fontId="4" fillId="2" borderId="2" xfId="0" applyFont="1" applyFill="1" applyBorder="1" applyAlignment="1">
      <alignment horizontal="center" vertical="center"/>
    </xf>
    <xf numFmtId="0" fontId="5" fillId="2" borderId="11" xfId="0" applyFont="1" applyFill="1" applyBorder="1" applyAlignment="1">
      <alignment horizontal="center" vertical="center"/>
    </xf>
    <xf numFmtId="0" fontId="0" fillId="2" borderId="7" xfId="0" applyFill="1" applyBorder="1" applyAlignment="1">
      <alignment horizontal="center" vertical="center"/>
    </xf>
    <xf numFmtId="0" fontId="0" fillId="2" borderId="78" xfId="0" applyFill="1" applyBorder="1" applyAlignment="1">
      <alignment horizontal="center" vertical="center"/>
    </xf>
    <xf numFmtId="0" fontId="0" fillId="2" borderId="1" xfId="0" applyFill="1" applyBorder="1" applyAlignment="1">
      <alignment horizontal="center" vertical="center"/>
    </xf>
    <xf numFmtId="0" fontId="1" fillId="2" borderId="1" xfId="0" applyFont="1" applyFill="1" applyBorder="1" applyAlignment="1">
      <alignment horizontal="left" wrapText="1"/>
    </xf>
    <xf numFmtId="0" fontId="1" fillId="2" borderId="0" xfId="0" applyFont="1" applyFill="1" applyAlignment="1">
      <alignment horizontal="left" wrapText="1"/>
    </xf>
    <xf numFmtId="0" fontId="0" fillId="2" borderId="117" xfId="0" applyFill="1" applyBorder="1" applyAlignment="1">
      <alignment horizontal="center"/>
    </xf>
    <xf numFmtId="0" fontId="0" fillId="2" borderId="42" xfId="0" applyFill="1" applyBorder="1" applyAlignment="1">
      <alignment horizontal="center"/>
    </xf>
    <xf numFmtId="0" fontId="0" fillId="2" borderId="118" xfId="0" applyFill="1" applyBorder="1" applyAlignment="1">
      <alignment horizontal="center"/>
    </xf>
    <xf numFmtId="0" fontId="0" fillId="2" borderId="69" xfId="0" applyFill="1" applyBorder="1" applyAlignment="1">
      <alignment horizontal="center"/>
    </xf>
    <xf numFmtId="0" fontId="0" fillId="2" borderId="119" xfId="0" applyFill="1" applyBorder="1" applyAlignment="1">
      <alignment horizontal="center" vertical="center"/>
    </xf>
    <xf numFmtId="0" fontId="0" fillId="2" borderId="40" xfId="0" applyFill="1" applyBorder="1" applyAlignment="1">
      <alignment horizontal="center" vertical="center"/>
    </xf>
    <xf numFmtId="16" fontId="0" fillId="2" borderId="58" xfId="0" applyNumberFormat="1" applyFill="1" applyBorder="1" applyAlignment="1">
      <alignment horizontal="center" vertical="center"/>
    </xf>
    <xf numFmtId="16" fontId="0" fillId="2" borderId="77" xfId="0" applyNumberFormat="1" applyFill="1" applyBorder="1" applyAlignment="1">
      <alignment horizontal="center" vertical="center"/>
    </xf>
    <xf numFmtId="16" fontId="0" fillId="2" borderId="31" xfId="0" applyNumberFormat="1" applyFill="1" applyBorder="1" applyAlignment="1">
      <alignment horizontal="center" vertical="center"/>
    </xf>
    <xf numFmtId="16" fontId="0" fillId="2" borderId="76" xfId="0" applyNumberFormat="1" applyFill="1" applyBorder="1" applyAlignment="1">
      <alignment horizontal="center" vertical="center"/>
    </xf>
    <xf numFmtId="0" fontId="1" fillId="2" borderId="32" xfId="0" applyFont="1" applyFill="1" applyBorder="1" applyAlignment="1">
      <alignment horizontal="center" vertical="center" wrapText="1"/>
    </xf>
    <xf numFmtId="0" fontId="0" fillId="2" borderId="32" xfId="0" applyFill="1" applyBorder="1" applyAlignment="1">
      <alignment horizontal="center" vertical="center" wrapText="1"/>
    </xf>
    <xf numFmtId="0" fontId="1" fillId="2" borderId="117" xfId="0" applyFont="1" applyFill="1" applyBorder="1" applyAlignment="1">
      <alignment horizontal="center" vertical="center" wrapText="1"/>
    </xf>
    <xf numFmtId="0" fontId="0" fillId="2" borderId="58" xfId="0" applyFill="1" applyBorder="1" applyAlignment="1">
      <alignment horizontal="center" vertical="center" wrapText="1"/>
    </xf>
    <xf numFmtId="0" fontId="0" fillId="2" borderId="1" xfId="0" applyFill="1" applyBorder="1" applyAlignment="1">
      <alignment horizontal="center" vertical="center" wrapText="1"/>
    </xf>
    <xf numFmtId="0" fontId="0" fillId="2" borderId="75" xfId="0" applyFill="1" applyBorder="1" applyAlignment="1">
      <alignment horizontal="center" vertical="center" wrapText="1"/>
    </xf>
    <xf numFmtId="0" fontId="0" fillId="2" borderId="118" xfId="0" applyFill="1" applyBorder="1" applyAlignment="1">
      <alignment horizontal="center" vertical="center" wrapText="1"/>
    </xf>
    <xf numFmtId="0" fontId="0" fillId="2" borderId="77" xfId="0" applyFill="1" applyBorder="1" applyAlignment="1">
      <alignment horizontal="center" vertical="center" wrapText="1"/>
    </xf>
    <xf numFmtId="0" fontId="1" fillId="2" borderId="58"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1" fillId="2" borderId="75" xfId="0" applyFont="1" applyFill="1" applyBorder="1" applyAlignment="1">
      <alignment horizontal="center" vertical="center" wrapText="1"/>
    </xf>
    <xf numFmtId="0" fontId="0" fillId="2" borderId="38" xfId="0" applyFill="1" applyBorder="1" applyAlignment="1">
      <alignment horizontal="left"/>
    </xf>
    <xf numFmtId="0" fontId="0" fillId="2" borderId="14" xfId="0" applyFill="1" applyBorder="1" applyAlignment="1">
      <alignment horizontal="left"/>
    </xf>
    <xf numFmtId="0" fontId="0" fillId="2" borderId="14" xfId="0" applyFill="1" applyBorder="1" applyAlignment="1">
      <alignment horizontal="center"/>
    </xf>
    <xf numFmtId="0" fontId="0" fillId="2" borderId="40" xfId="0" applyFill="1" applyBorder="1" applyAlignment="1">
      <alignment horizontal="center"/>
    </xf>
    <xf numFmtId="0" fontId="0" fillId="2" borderId="123" xfId="0" applyFill="1" applyBorder="1" applyAlignment="1">
      <alignment horizontal="center"/>
    </xf>
    <xf numFmtId="0" fontId="0" fillId="2" borderId="37" xfId="0" applyFill="1" applyBorder="1" applyAlignment="1">
      <alignment horizontal="center"/>
    </xf>
    <xf numFmtId="0" fontId="0" fillId="2" borderId="120" xfId="0" applyFill="1" applyBorder="1" applyAlignment="1">
      <alignment horizontal="center"/>
    </xf>
    <xf numFmtId="0" fontId="5" fillId="2" borderId="124" xfId="0" applyFont="1" applyFill="1" applyBorder="1" applyAlignment="1">
      <alignment horizontal="center" vertical="center"/>
    </xf>
    <xf numFmtId="0" fontId="0" fillId="2" borderId="125" xfId="0" applyFill="1" applyBorder="1" applyAlignment="1">
      <alignment horizontal="center" vertical="center"/>
    </xf>
    <xf numFmtId="0" fontId="0" fillId="2" borderId="38" xfId="0" applyFill="1" applyBorder="1" applyAlignment="1">
      <alignment horizontal="center" vertical="center"/>
    </xf>
    <xf numFmtId="0" fontId="0" fillId="2" borderId="14" xfId="0" applyFill="1" applyBorder="1" applyAlignment="1">
      <alignment horizontal="center" vertical="center"/>
    </xf>
    <xf numFmtId="0" fontId="1" fillId="2" borderId="38" xfId="0" applyFont="1" applyFill="1" applyBorder="1" applyAlignment="1">
      <alignment horizontal="left" wrapText="1"/>
    </xf>
    <xf numFmtId="0" fontId="1" fillId="2" borderId="14" xfId="0" applyFont="1" applyFill="1" applyBorder="1" applyAlignment="1">
      <alignment horizontal="left" wrapText="1"/>
    </xf>
    <xf numFmtId="0" fontId="0" fillId="2" borderId="136" xfId="0" applyFill="1" applyBorder="1" applyAlignment="1">
      <alignment horizontal="center"/>
    </xf>
    <xf numFmtId="0" fontId="0" fillId="2" borderId="137" xfId="0" applyFill="1" applyBorder="1" applyAlignment="1">
      <alignment horizontal="center"/>
    </xf>
    <xf numFmtId="0" fontId="0" fillId="2" borderId="138" xfId="0" applyFill="1" applyBorder="1" applyAlignment="1">
      <alignment horizontal="center"/>
    </xf>
    <xf numFmtId="0" fontId="19" fillId="2" borderId="14" xfId="0" applyFont="1" applyFill="1" applyBorder="1" applyAlignment="1">
      <alignment horizontal="center" vertical="center" wrapText="1"/>
    </xf>
    <xf numFmtId="0" fontId="1" fillId="2" borderId="38" xfId="0" applyFont="1" applyFill="1" applyBorder="1" applyAlignment="1">
      <alignment horizontal="left"/>
    </xf>
    <xf numFmtId="0" fontId="1" fillId="2" borderId="38" xfId="0" applyFont="1" applyFill="1" applyBorder="1" applyAlignment="1">
      <alignment horizontal="center"/>
    </xf>
    <xf numFmtId="0" fontId="0" fillId="2" borderId="121" xfId="0" applyFill="1" applyBorder="1" applyAlignment="1">
      <alignment horizontal="center"/>
    </xf>
    <xf numFmtId="0" fontId="0" fillId="2" borderId="122" xfId="0" applyFill="1" applyBorder="1" applyAlignment="1">
      <alignment horizontal="center"/>
    </xf>
    <xf numFmtId="0" fontId="0" fillId="0" borderId="129" xfId="0" applyBorder="1" applyAlignment="1">
      <alignment horizontal="center" vertical="center"/>
    </xf>
    <xf numFmtId="0" fontId="0" fillId="0" borderId="130" xfId="0" applyBorder="1" applyAlignment="1">
      <alignment horizontal="center" vertical="center"/>
    </xf>
    <xf numFmtId="0" fontId="0" fillId="0" borderId="131" xfId="0" applyBorder="1" applyAlignment="1">
      <alignment horizontal="center" vertical="center"/>
    </xf>
    <xf numFmtId="0" fontId="0" fillId="0" borderId="39" xfId="0" applyBorder="1" applyAlignment="1">
      <alignment horizontal="center" vertical="center"/>
    </xf>
    <xf numFmtId="0" fontId="0" fillId="0" borderId="15" xfId="0" applyBorder="1" applyAlignment="1">
      <alignment horizontal="center" vertical="center"/>
    </xf>
    <xf numFmtId="0" fontId="0" fillId="0" borderId="46" xfId="0" applyBorder="1" applyAlignment="1">
      <alignment horizontal="center"/>
    </xf>
    <xf numFmtId="0" fontId="0" fillId="0" borderId="60" xfId="0" applyBorder="1" applyAlignment="1">
      <alignment horizontal="center"/>
    </xf>
    <xf numFmtId="0" fontId="1" fillId="0" borderId="39" xfId="0" applyFont="1" applyBorder="1" applyAlignment="1">
      <alignment horizontal="center"/>
    </xf>
    <xf numFmtId="0" fontId="0" fillId="0" borderId="15" xfId="0" applyBorder="1" applyAlignment="1">
      <alignment horizontal="center"/>
    </xf>
    <xf numFmtId="0" fontId="1" fillId="0" borderId="38" xfId="0" applyFont="1" applyBorder="1" applyAlignment="1">
      <alignment horizontal="center"/>
    </xf>
    <xf numFmtId="0" fontId="0" fillId="0" borderId="14" xfId="0" applyBorder="1" applyAlignment="1">
      <alignment horizontal="center"/>
    </xf>
    <xf numFmtId="0" fontId="9" fillId="0" borderId="3" xfId="0" applyFont="1" applyBorder="1" applyAlignment="1">
      <alignment horizontal="center" vertical="center" wrapText="1"/>
    </xf>
    <xf numFmtId="0" fontId="9" fillId="0" borderId="4" xfId="0" applyFont="1" applyBorder="1" applyAlignment="1">
      <alignment horizontal="center" vertical="center" wrapText="1"/>
    </xf>
    <xf numFmtId="0" fontId="0" fillId="0" borderId="14" xfId="0" applyBorder="1" applyAlignment="1">
      <alignment horizontal="center" vertical="center"/>
    </xf>
    <xf numFmtId="0" fontId="0" fillId="0" borderId="40" xfId="0" applyBorder="1" applyAlignment="1">
      <alignment horizontal="center" vertical="center"/>
    </xf>
    <xf numFmtId="0" fontId="0" fillId="0" borderId="38" xfId="0" applyBorder="1" applyAlignment="1">
      <alignment horizontal="center" vertical="center"/>
    </xf>
    <xf numFmtId="0" fontId="0" fillId="0" borderId="18" xfId="0" applyBorder="1" applyAlignment="1">
      <alignment horizontal="center" vertical="center"/>
    </xf>
    <xf numFmtId="0" fontId="0" fillId="0" borderId="37" xfId="0" applyBorder="1" applyAlignment="1">
      <alignment horizontal="center" vertical="center"/>
    </xf>
    <xf numFmtId="0" fontId="0" fillId="0" borderId="57" xfId="0" applyBorder="1" applyAlignment="1">
      <alignment horizontal="center" vertical="center"/>
    </xf>
    <xf numFmtId="0" fontId="1" fillId="0" borderId="18" xfId="0" applyFont="1" applyBorder="1" applyAlignment="1">
      <alignment horizontal="center" vertical="center" wrapText="1"/>
    </xf>
    <xf numFmtId="0" fontId="0" fillId="0" borderId="37" xfId="0" applyBorder="1" applyAlignment="1">
      <alignment horizontal="center" vertical="center" wrapText="1"/>
    </xf>
    <xf numFmtId="0" fontId="0" fillId="0" borderId="57" xfId="0" applyBorder="1" applyAlignment="1">
      <alignment horizontal="center" vertical="center" wrapText="1"/>
    </xf>
    <xf numFmtId="0" fontId="0" fillId="0" borderId="18" xfId="0" applyBorder="1" applyAlignment="1">
      <alignment horizontal="center" vertical="center" wrapText="1"/>
    </xf>
    <xf numFmtId="0" fontId="0" fillId="0" borderId="41" xfId="0" applyBorder="1" applyAlignment="1">
      <alignment horizontal="center"/>
    </xf>
    <xf numFmtId="0" fontId="9" fillId="0" borderId="0" xfId="0" applyFont="1" applyAlignment="1">
      <alignment horizontal="center" vertical="center" wrapText="1"/>
    </xf>
    <xf numFmtId="0" fontId="9" fillId="0" borderId="2" xfId="0" applyFont="1" applyBorder="1" applyAlignment="1">
      <alignment horizontal="center" vertical="center" wrapText="1"/>
    </xf>
    <xf numFmtId="0" fontId="1" fillId="0" borderId="18" xfId="0" applyFont="1" applyBorder="1" applyAlignment="1">
      <alignment horizontal="center" vertical="center"/>
    </xf>
    <xf numFmtId="0" fontId="0" fillId="0" borderId="121" xfId="0" applyBorder="1" applyAlignment="1">
      <alignment horizontal="center" vertical="center"/>
    </xf>
    <xf numFmtId="0" fontId="0" fillId="0" borderId="124" xfId="0" applyBorder="1" applyAlignment="1">
      <alignment horizontal="center"/>
    </xf>
    <xf numFmtId="0" fontId="0" fillId="0" borderId="125" xfId="0" applyBorder="1" applyAlignment="1">
      <alignment horizontal="center"/>
    </xf>
    <xf numFmtId="0" fontId="0" fillId="0" borderId="119" xfId="0" applyBorder="1" applyAlignment="1">
      <alignment horizontal="center"/>
    </xf>
    <xf numFmtId="0" fontId="9" fillId="0" borderId="5" xfId="0" applyFont="1" applyBorder="1" applyAlignment="1">
      <alignment horizontal="center" vertical="center" wrapText="1"/>
    </xf>
    <xf numFmtId="0" fontId="9" fillId="0" borderId="11" xfId="0" applyFont="1" applyBorder="1" applyAlignment="1">
      <alignment horizontal="center" vertical="center" wrapText="1"/>
    </xf>
    <xf numFmtId="0" fontId="9" fillId="0" borderId="7" xfId="0" applyFont="1" applyBorder="1" applyAlignment="1">
      <alignment horizontal="center" vertical="center" wrapText="1"/>
    </xf>
    <xf numFmtId="0" fontId="9" fillId="0" borderId="78" xfId="0" applyFont="1" applyBorder="1" applyAlignment="1">
      <alignment horizontal="center" vertical="center" wrapText="1"/>
    </xf>
    <xf numFmtId="0" fontId="9" fillId="0" borderId="1" xfId="0" applyFont="1" applyBorder="1" applyAlignment="1">
      <alignment horizontal="center" vertical="center" wrapText="1"/>
    </xf>
    <xf numFmtId="0" fontId="2" fillId="0" borderId="7" xfId="0" applyFont="1" applyBorder="1" applyAlignment="1">
      <alignment horizontal="center"/>
    </xf>
    <xf numFmtId="0" fontId="0" fillId="0" borderId="32" xfId="0" applyBorder="1" applyAlignment="1">
      <alignment horizontal="center" vertical="center"/>
    </xf>
    <xf numFmtId="0" fontId="0" fillId="0" borderId="52" xfId="0" applyBorder="1" applyAlignment="1">
      <alignment horizontal="center" vertical="center"/>
    </xf>
    <xf numFmtId="0" fontId="2" fillId="0" borderId="38" xfId="0" applyFont="1" applyBorder="1" applyAlignment="1">
      <alignment horizontal="center"/>
    </xf>
    <xf numFmtId="0" fontId="2" fillId="0" borderId="14" xfId="0" applyFont="1" applyBorder="1" applyAlignment="1">
      <alignment horizontal="center"/>
    </xf>
    <xf numFmtId="0" fontId="0" fillId="0" borderId="18" xfId="0" applyBorder="1" applyAlignment="1">
      <alignment horizontal="center"/>
    </xf>
    <xf numFmtId="0" fontId="1" fillId="0" borderId="126" xfId="0" applyFont="1" applyBorder="1" applyAlignment="1">
      <alignment horizontal="center"/>
    </xf>
    <xf numFmtId="0" fontId="0" fillId="0" borderId="127" xfId="0" applyBorder="1" applyAlignment="1">
      <alignment horizontal="center"/>
    </xf>
    <xf numFmtId="0" fontId="0" fillId="0" borderId="128" xfId="0" applyBorder="1" applyAlignment="1">
      <alignment horizontal="center"/>
    </xf>
    <xf numFmtId="0" fontId="0" fillId="0" borderId="31" xfId="0" applyBorder="1" applyAlignment="1">
      <alignment horizontal="center" vertical="center"/>
    </xf>
    <xf numFmtId="0" fontId="0" fillId="0" borderId="132" xfId="0" applyBorder="1" applyAlignment="1">
      <alignment horizontal="center" vertical="center"/>
    </xf>
    <xf numFmtId="0" fontId="0" fillId="0" borderId="74" xfId="0" applyBorder="1" applyAlignment="1">
      <alignment horizontal="center" vertical="center"/>
    </xf>
    <xf numFmtId="0" fontId="0" fillId="0" borderId="2" xfId="0" applyBorder="1" applyAlignment="1">
      <alignment horizontal="center" vertical="center"/>
    </xf>
    <xf numFmtId="0" fontId="0" fillId="2" borderId="124" xfId="0" applyFill="1" applyBorder="1" applyAlignment="1">
      <alignment horizontal="center" vertical="center"/>
    </xf>
    <xf numFmtId="0" fontId="0" fillId="0" borderId="42" xfId="0" applyBorder="1" applyAlignment="1">
      <alignment horizontal="center" vertical="center"/>
    </xf>
    <xf numFmtId="0" fontId="0" fillId="0" borderId="126" xfId="0" applyBorder="1" applyAlignment="1">
      <alignment horizontal="center" vertical="center"/>
    </xf>
    <xf numFmtId="0" fontId="0" fillId="0" borderId="127" xfId="0" applyBorder="1" applyAlignment="1">
      <alignment horizontal="center" vertical="center"/>
    </xf>
    <xf numFmtId="0" fontId="0" fillId="0" borderId="128" xfId="0" applyBorder="1" applyAlignment="1">
      <alignment horizontal="center" vertical="center"/>
    </xf>
    <xf numFmtId="0" fontId="0" fillId="0" borderId="32" xfId="0" applyBorder="1" applyAlignment="1">
      <alignment horizontal="center"/>
    </xf>
    <xf numFmtId="0" fontId="1" fillId="0" borderId="38" xfId="0" applyFont="1" applyBorder="1" applyAlignment="1">
      <alignment horizontal="center" vertical="center"/>
    </xf>
    <xf numFmtId="0" fontId="0" fillId="0" borderId="41" xfId="0" applyBorder="1" applyAlignment="1">
      <alignment horizontal="center" vertical="center"/>
    </xf>
    <xf numFmtId="0" fontId="0" fillId="0" borderId="31" xfId="0" applyBorder="1" applyAlignment="1">
      <alignment horizontal="center"/>
    </xf>
    <xf numFmtId="0" fontId="1" fillId="0" borderId="37" xfId="0" applyFont="1" applyBorder="1" applyAlignment="1">
      <alignment horizontal="center" vertical="center"/>
    </xf>
    <xf numFmtId="0" fontId="1" fillId="0" borderId="57" xfId="0" applyFont="1" applyBorder="1" applyAlignment="1">
      <alignment horizontal="center" vertical="center"/>
    </xf>
    <xf numFmtId="0" fontId="1" fillId="0" borderId="14" xfId="0" applyFont="1" applyBorder="1" applyAlignment="1">
      <alignment horizontal="center" vertical="center"/>
    </xf>
    <xf numFmtId="0" fontId="0" fillId="0" borderId="120" xfId="0" applyBorder="1" applyAlignment="1">
      <alignment horizontal="center" vertical="center"/>
    </xf>
    <xf numFmtId="0" fontId="0" fillId="0" borderId="122" xfId="0" applyBorder="1" applyAlignment="1">
      <alignment horizontal="center" vertical="center"/>
    </xf>
    <xf numFmtId="0" fontId="0" fillId="0" borderId="133" xfId="0" applyBorder="1" applyAlignment="1">
      <alignment horizontal="center"/>
    </xf>
    <xf numFmtId="0" fontId="0" fillId="0" borderId="134" xfId="0" applyBorder="1" applyAlignment="1">
      <alignment horizontal="center"/>
    </xf>
    <xf numFmtId="0" fontId="0" fillId="0" borderId="135" xfId="0" applyBorder="1" applyAlignment="1">
      <alignment horizontal="center"/>
    </xf>
    <xf numFmtId="0" fontId="1" fillId="0" borderId="7" xfId="0" applyFont="1" applyBorder="1" applyAlignment="1">
      <alignment horizontal="center"/>
    </xf>
    <xf numFmtId="0" fontId="0" fillId="0" borderId="7" xfId="0" applyBorder="1" applyAlignment="1">
      <alignment horizontal="center" vertical="center"/>
    </xf>
    <xf numFmtId="0" fontId="1" fillId="0" borderId="124" xfId="0" applyFont="1" applyBorder="1" applyAlignment="1">
      <alignment horizontal="center" wrapText="1"/>
    </xf>
    <xf numFmtId="0" fontId="0" fillId="0" borderId="125" xfId="0" applyBorder="1" applyAlignment="1">
      <alignment horizontal="center" wrapText="1"/>
    </xf>
    <xf numFmtId="0" fontId="0" fillId="0" borderId="119" xfId="0" applyBorder="1" applyAlignment="1">
      <alignment horizontal="center" wrapText="1"/>
    </xf>
    <xf numFmtId="0" fontId="0" fillId="0" borderId="38" xfId="0" applyBorder="1" applyAlignment="1">
      <alignment horizontal="center" wrapText="1"/>
    </xf>
    <xf numFmtId="0" fontId="0" fillId="0" borderId="14" xfId="0" applyBorder="1" applyAlignment="1">
      <alignment horizontal="center" wrapText="1"/>
    </xf>
    <xf numFmtId="0" fontId="0" fillId="0" borderId="40" xfId="0" applyBorder="1" applyAlignment="1">
      <alignment horizontal="center" wrapText="1"/>
    </xf>
    <xf numFmtId="0" fontId="1" fillId="0" borderId="38" xfId="0" applyFont="1" applyBorder="1" applyAlignment="1">
      <alignment horizontal="center" vertical="center" wrapText="1"/>
    </xf>
    <xf numFmtId="0" fontId="0" fillId="0" borderId="14" xfId="0" applyBorder="1" applyAlignment="1">
      <alignment horizontal="center" vertical="center" wrapText="1"/>
    </xf>
    <xf numFmtId="0" fontId="0" fillId="0" borderId="38" xfId="0" applyBorder="1" applyAlignment="1">
      <alignment horizontal="center" vertical="center" wrapText="1"/>
    </xf>
    <xf numFmtId="0" fontId="0" fillId="0" borderId="9" xfId="0" applyBorder="1" applyAlignment="1">
      <alignment horizontal="center" vertical="center"/>
    </xf>
    <xf numFmtId="0" fontId="0" fillId="0" borderId="139" xfId="0" applyBorder="1" applyAlignment="1">
      <alignment horizontal="center" vertical="center"/>
    </xf>
    <xf numFmtId="0" fontId="1" fillId="0" borderId="140" xfId="0" applyFont="1" applyBorder="1" applyAlignment="1">
      <alignment horizontal="center" vertical="center" wrapText="1"/>
    </xf>
    <xf numFmtId="0" fontId="0" fillId="0" borderId="32" xfId="0" applyBorder="1" applyAlignment="1">
      <alignment horizontal="center" vertical="center" wrapText="1"/>
    </xf>
    <xf numFmtId="0" fontId="0" fillId="0" borderId="141" xfId="0" applyBorder="1" applyAlignment="1">
      <alignment horizontal="center" vertical="center" wrapText="1"/>
    </xf>
    <xf numFmtId="0" fontId="0" fillId="0" borderId="9" xfId="0" applyBorder="1" applyAlignment="1">
      <alignment horizontal="center" vertical="center" wrapText="1"/>
    </xf>
    <xf numFmtId="0" fontId="0" fillId="0" borderId="52" xfId="0" applyBorder="1" applyAlignment="1">
      <alignment horizontal="center"/>
    </xf>
    <xf numFmtId="0" fontId="0" fillId="0" borderId="9" xfId="0" applyBorder="1" applyAlignment="1">
      <alignment horizontal="center"/>
    </xf>
    <xf numFmtId="0" fontId="0" fillId="0" borderId="139" xfId="0" applyBorder="1" applyAlignment="1">
      <alignment horizontal="center"/>
    </xf>
    <xf numFmtId="0" fontId="0" fillId="0" borderId="142" xfId="0" applyBorder="1" applyAlignment="1">
      <alignment horizontal="center" vertical="center" wrapText="1"/>
    </xf>
    <xf numFmtId="0" fontId="0" fillId="0" borderId="143" xfId="0" applyBorder="1" applyAlignment="1">
      <alignment horizontal="center" vertical="center" wrapText="1"/>
    </xf>
    <xf numFmtId="0" fontId="0" fillId="0" borderId="52" xfId="0" applyBorder="1" applyAlignment="1">
      <alignment horizontal="center" vertical="center" wrapText="1"/>
    </xf>
    <xf numFmtId="0" fontId="0" fillId="0" borderId="144" xfId="0" applyBorder="1" applyAlignment="1">
      <alignment horizontal="center" vertical="center" wrapText="1"/>
    </xf>
    <xf numFmtId="0" fontId="16" fillId="0" borderId="124" xfId="0" applyFont="1" applyBorder="1" applyAlignment="1">
      <alignment horizontal="center" vertical="center"/>
    </xf>
    <xf numFmtId="0" fontId="16" fillId="0" borderId="125" xfId="0" applyFont="1" applyBorder="1" applyAlignment="1">
      <alignment horizontal="center" vertical="center"/>
    </xf>
    <xf numFmtId="0" fontId="16" fillId="0" borderId="119" xfId="0" applyFont="1" applyBorder="1" applyAlignment="1">
      <alignment horizontal="center" vertical="center"/>
    </xf>
    <xf numFmtId="0" fontId="16" fillId="0" borderId="38" xfId="0" applyFont="1" applyBorder="1" applyAlignment="1">
      <alignment horizontal="center" vertical="center"/>
    </xf>
    <xf numFmtId="0" fontId="16" fillId="0" borderId="14" xfId="0" applyFont="1" applyBorder="1" applyAlignment="1">
      <alignment horizontal="center" vertical="center"/>
    </xf>
    <xf numFmtId="0" fontId="16" fillId="0" borderId="40" xfId="0" applyFont="1" applyBorder="1" applyAlignment="1">
      <alignment horizontal="center" vertical="center"/>
    </xf>
  </cellXfs>
  <cellStyles count="2">
    <cellStyle name="Normal" xfId="0" builtinId="0"/>
    <cellStyle name="Normal 2" xfId="1" xr:uid="{00000000-0005-0000-0000-000001000000}"/>
  </cellStyles>
  <dxfs count="0"/>
  <tableStyles count="0" defaultTableStyle="TableStyleMedium9" defaultPivotStyle="PivotStyleLight16"/>
  <colors>
    <mruColors>
      <color rgb="FF66FFCC"/>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eetMetadata" Target="metadata.xml"/></Relationships>
</file>

<file path=xl/drawings/drawing1.xml><?xml version="1.0" encoding="utf-8"?>
<xdr:wsDr xmlns:xdr="http://schemas.openxmlformats.org/drawingml/2006/spreadsheetDrawing" xmlns:a="http://schemas.openxmlformats.org/drawingml/2006/main">
  <xdr:twoCellAnchor>
    <xdr:from>
      <xdr:col>10</xdr:col>
      <xdr:colOff>0</xdr:colOff>
      <xdr:row>3</xdr:row>
      <xdr:rowOff>0</xdr:rowOff>
    </xdr:from>
    <xdr:to>
      <xdr:col>28</xdr:col>
      <xdr:colOff>581024</xdr:colOff>
      <xdr:row>9</xdr:row>
      <xdr:rowOff>0</xdr:rowOff>
    </xdr:to>
    <xdr:sp macro="" textlink="">
      <xdr:nvSpPr>
        <xdr:cNvPr id="3" name="Freeform 2">
          <a:extLst>
            <a:ext uri="{FF2B5EF4-FFF2-40B4-BE49-F238E27FC236}">
              <a16:creationId xmlns:a16="http://schemas.microsoft.com/office/drawing/2014/main" id="{00000000-0008-0000-0500-000003000000}"/>
            </a:ext>
          </a:extLst>
        </xdr:cNvPr>
        <xdr:cNvSpPr/>
      </xdr:nvSpPr>
      <xdr:spPr>
        <a:xfrm>
          <a:off x="7572375" y="676275"/>
          <a:ext cx="9201149" cy="1371600"/>
        </a:xfrm>
        <a:custGeom>
          <a:avLst/>
          <a:gdLst>
            <a:gd name="connsiteX0" fmla="*/ 0 w 4733925"/>
            <a:gd name="connsiteY0" fmla="*/ 165103 h 990600"/>
            <a:gd name="connsiteX1" fmla="*/ 48358 w 4733925"/>
            <a:gd name="connsiteY1" fmla="*/ 48358 h 990600"/>
            <a:gd name="connsiteX2" fmla="*/ 165104 w 4733925"/>
            <a:gd name="connsiteY2" fmla="*/ 1 h 990600"/>
            <a:gd name="connsiteX3" fmla="*/ 788988 w 4733925"/>
            <a:gd name="connsiteY3" fmla="*/ 0 h 990600"/>
            <a:gd name="connsiteX4" fmla="*/ 788988 w 4733925"/>
            <a:gd name="connsiteY4" fmla="*/ 0 h 990600"/>
            <a:gd name="connsiteX5" fmla="*/ 1972469 w 4733925"/>
            <a:gd name="connsiteY5" fmla="*/ 0 h 990600"/>
            <a:gd name="connsiteX6" fmla="*/ 4568822 w 4733925"/>
            <a:gd name="connsiteY6" fmla="*/ 0 h 990600"/>
            <a:gd name="connsiteX7" fmla="*/ 4685567 w 4733925"/>
            <a:gd name="connsiteY7" fmla="*/ 48358 h 990600"/>
            <a:gd name="connsiteX8" fmla="*/ 4733924 w 4733925"/>
            <a:gd name="connsiteY8" fmla="*/ 165104 h 990600"/>
            <a:gd name="connsiteX9" fmla="*/ 4733925 w 4733925"/>
            <a:gd name="connsiteY9" fmla="*/ 577850 h 990600"/>
            <a:gd name="connsiteX10" fmla="*/ 4733925 w 4733925"/>
            <a:gd name="connsiteY10" fmla="*/ 577850 h 990600"/>
            <a:gd name="connsiteX11" fmla="*/ 4733925 w 4733925"/>
            <a:gd name="connsiteY11" fmla="*/ 825500 h 990600"/>
            <a:gd name="connsiteX12" fmla="*/ 4733925 w 4733925"/>
            <a:gd name="connsiteY12" fmla="*/ 825497 h 990600"/>
            <a:gd name="connsiteX13" fmla="*/ 4685567 w 4733925"/>
            <a:gd name="connsiteY13" fmla="*/ 942242 h 990600"/>
            <a:gd name="connsiteX14" fmla="*/ 4568821 w 4733925"/>
            <a:gd name="connsiteY14" fmla="*/ 990600 h 990600"/>
            <a:gd name="connsiteX15" fmla="*/ 1972469 w 4733925"/>
            <a:gd name="connsiteY15" fmla="*/ 990600 h 990600"/>
            <a:gd name="connsiteX16" fmla="*/ 788988 w 4733925"/>
            <a:gd name="connsiteY16" fmla="*/ 990600 h 990600"/>
            <a:gd name="connsiteX17" fmla="*/ 788988 w 4733925"/>
            <a:gd name="connsiteY17" fmla="*/ 990600 h 990600"/>
            <a:gd name="connsiteX18" fmla="*/ 165103 w 4733925"/>
            <a:gd name="connsiteY18" fmla="*/ 990600 h 990600"/>
            <a:gd name="connsiteX19" fmla="*/ 48358 w 4733925"/>
            <a:gd name="connsiteY19" fmla="*/ 942242 h 990600"/>
            <a:gd name="connsiteX20" fmla="*/ 1 w 4733925"/>
            <a:gd name="connsiteY20" fmla="*/ 825496 h 990600"/>
            <a:gd name="connsiteX21" fmla="*/ 0 w 4733925"/>
            <a:gd name="connsiteY21" fmla="*/ 825500 h 990600"/>
            <a:gd name="connsiteX22" fmla="*/ -3029333 w 4733925"/>
            <a:gd name="connsiteY22" fmla="*/ 1371605 h 990600"/>
            <a:gd name="connsiteX23" fmla="*/ 0 w 4733925"/>
            <a:gd name="connsiteY23" fmla="*/ 577850 h 990600"/>
            <a:gd name="connsiteX24" fmla="*/ 0 w 4733925"/>
            <a:gd name="connsiteY24" fmla="*/ 165103 h 990600"/>
            <a:gd name="connsiteX0" fmla="*/ 2653750 w 7387675"/>
            <a:gd name="connsiteY0" fmla="*/ 165103 h 1150374"/>
            <a:gd name="connsiteX1" fmla="*/ 2702108 w 7387675"/>
            <a:gd name="connsiteY1" fmla="*/ 48358 h 1150374"/>
            <a:gd name="connsiteX2" fmla="*/ 2818854 w 7387675"/>
            <a:gd name="connsiteY2" fmla="*/ 1 h 1150374"/>
            <a:gd name="connsiteX3" fmla="*/ 3442738 w 7387675"/>
            <a:gd name="connsiteY3" fmla="*/ 0 h 1150374"/>
            <a:gd name="connsiteX4" fmla="*/ 3442738 w 7387675"/>
            <a:gd name="connsiteY4" fmla="*/ 0 h 1150374"/>
            <a:gd name="connsiteX5" fmla="*/ 4626219 w 7387675"/>
            <a:gd name="connsiteY5" fmla="*/ 0 h 1150374"/>
            <a:gd name="connsiteX6" fmla="*/ 7222572 w 7387675"/>
            <a:gd name="connsiteY6" fmla="*/ 0 h 1150374"/>
            <a:gd name="connsiteX7" fmla="*/ 7339317 w 7387675"/>
            <a:gd name="connsiteY7" fmla="*/ 48358 h 1150374"/>
            <a:gd name="connsiteX8" fmla="*/ 7387674 w 7387675"/>
            <a:gd name="connsiteY8" fmla="*/ 165104 h 1150374"/>
            <a:gd name="connsiteX9" fmla="*/ 7387675 w 7387675"/>
            <a:gd name="connsiteY9" fmla="*/ 577850 h 1150374"/>
            <a:gd name="connsiteX10" fmla="*/ 7387675 w 7387675"/>
            <a:gd name="connsiteY10" fmla="*/ 577850 h 1150374"/>
            <a:gd name="connsiteX11" fmla="*/ 7387675 w 7387675"/>
            <a:gd name="connsiteY11" fmla="*/ 825500 h 1150374"/>
            <a:gd name="connsiteX12" fmla="*/ 7387675 w 7387675"/>
            <a:gd name="connsiteY12" fmla="*/ 825497 h 1150374"/>
            <a:gd name="connsiteX13" fmla="*/ 7339317 w 7387675"/>
            <a:gd name="connsiteY13" fmla="*/ 942242 h 1150374"/>
            <a:gd name="connsiteX14" fmla="*/ 7222571 w 7387675"/>
            <a:gd name="connsiteY14" fmla="*/ 990600 h 1150374"/>
            <a:gd name="connsiteX15" fmla="*/ 4626219 w 7387675"/>
            <a:gd name="connsiteY15" fmla="*/ 990600 h 1150374"/>
            <a:gd name="connsiteX16" fmla="*/ 3442738 w 7387675"/>
            <a:gd name="connsiteY16" fmla="*/ 990600 h 1150374"/>
            <a:gd name="connsiteX17" fmla="*/ 3442738 w 7387675"/>
            <a:gd name="connsiteY17" fmla="*/ 990600 h 1150374"/>
            <a:gd name="connsiteX18" fmla="*/ 2818853 w 7387675"/>
            <a:gd name="connsiteY18" fmla="*/ 990600 h 1150374"/>
            <a:gd name="connsiteX19" fmla="*/ 2702108 w 7387675"/>
            <a:gd name="connsiteY19" fmla="*/ 942242 h 1150374"/>
            <a:gd name="connsiteX20" fmla="*/ 2653751 w 7387675"/>
            <a:gd name="connsiteY20" fmla="*/ 825496 h 1150374"/>
            <a:gd name="connsiteX21" fmla="*/ 2653750 w 7387675"/>
            <a:gd name="connsiteY21" fmla="*/ 825500 h 1150374"/>
            <a:gd name="connsiteX22" fmla="*/ 0 w 7387675"/>
            <a:gd name="connsiteY22" fmla="*/ 1150374 h 1150374"/>
            <a:gd name="connsiteX23" fmla="*/ 2653750 w 7387675"/>
            <a:gd name="connsiteY23" fmla="*/ 577850 h 1150374"/>
            <a:gd name="connsiteX24" fmla="*/ 2653750 w 7387675"/>
            <a:gd name="connsiteY24" fmla="*/ 165103 h 1150374"/>
            <a:gd name="connsiteX0" fmla="*/ 2653750 w 7387675"/>
            <a:gd name="connsiteY0" fmla="*/ 165103 h 1150374"/>
            <a:gd name="connsiteX1" fmla="*/ 2702108 w 7387675"/>
            <a:gd name="connsiteY1" fmla="*/ 48358 h 1150374"/>
            <a:gd name="connsiteX2" fmla="*/ 2818854 w 7387675"/>
            <a:gd name="connsiteY2" fmla="*/ 1 h 1150374"/>
            <a:gd name="connsiteX3" fmla="*/ 3442738 w 7387675"/>
            <a:gd name="connsiteY3" fmla="*/ 0 h 1150374"/>
            <a:gd name="connsiteX4" fmla="*/ 3442738 w 7387675"/>
            <a:gd name="connsiteY4" fmla="*/ 0 h 1150374"/>
            <a:gd name="connsiteX5" fmla="*/ 4626219 w 7387675"/>
            <a:gd name="connsiteY5" fmla="*/ 0 h 1150374"/>
            <a:gd name="connsiteX6" fmla="*/ 7222572 w 7387675"/>
            <a:gd name="connsiteY6" fmla="*/ 0 h 1150374"/>
            <a:gd name="connsiteX7" fmla="*/ 7339317 w 7387675"/>
            <a:gd name="connsiteY7" fmla="*/ 48358 h 1150374"/>
            <a:gd name="connsiteX8" fmla="*/ 7387674 w 7387675"/>
            <a:gd name="connsiteY8" fmla="*/ 165104 h 1150374"/>
            <a:gd name="connsiteX9" fmla="*/ 7387675 w 7387675"/>
            <a:gd name="connsiteY9" fmla="*/ 577850 h 1150374"/>
            <a:gd name="connsiteX10" fmla="*/ 7387675 w 7387675"/>
            <a:gd name="connsiteY10" fmla="*/ 577850 h 1150374"/>
            <a:gd name="connsiteX11" fmla="*/ 7387675 w 7387675"/>
            <a:gd name="connsiteY11" fmla="*/ 825500 h 1150374"/>
            <a:gd name="connsiteX12" fmla="*/ 7387675 w 7387675"/>
            <a:gd name="connsiteY12" fmla="*/ 825497 h 1150374"/>
            <a:gd name="connsiteX13" fmla="*/ 7339317 w 7387675"/>
            <a:gd name="connsiteY13" fmla="*/ 942242 h 1150374"/>
            <a:gd name="connsiteX14" fmla="*/ 7222571 w 7387675"/>
            <a:gd name="connsiteY14" fmla="*/ 990600 h 1150374"/>
            <a:gd name="connsiteX15" fmla="*/ 4626219 w 7387675"/>
            <a:gd name="connsiteY15" fmla="*/ 990600 h 1150374"/>
            <a:gd name="connsiteX16" fmla="*/ 3442738 w 7387675"/>
            <a:gd name="connsiteY16" fmla="*/ 990600 h 1150374"/>
            <a:gd name="connsiteX17" fmla="*/ 3442738 w 7387675"/>
            <a:gd name="connsiteY17" fmla="*/ 990600 h 1150374"/>
            <a:gd name="connsiteX18" fmla="*/ 2818853 w 7387675"/>
            <a:gd name="connsiteY18" fmla="*/ 990600 h 1150374"/>
            <a:gd name="connsiteX19" fmla="*/ 2702108 w 7387675"/>
            <a:gd name="connsiteY19" fmla="*/ 942242 h 1150374"/>
            <a:gd name="connsiteX20" fmla="*/ 2653751 w 7387675"/>
            <a:gd name="connsiteY20" fmla="*/ 825496 h 1150374"/>
            <a:gd name="connsiteX21" fmla="*/ 2653751 w 7387675"/>
            <a:gd name="connsiteY21" fmla="*/ 830826 h 1150374"/>
            <a:gd name="connsiteX22" fmla="*/ 0 w 7387675"/>
            <a:gd name="connsiteY22" fmla="*/ 1150374 h 1150374"/>
            <a:gd name="connsiteX23" fmla="*/ 2653750 w 7387675"/>
            <a:gd name="connsiteY23" fmla="*/ 577850 h 1150374"/>
            <a:gd name="connsiteX24" fmla="*/ 2653750 w 7387675"/>
            <a:gd name="connsiteY24" fmla="*/ 165103 h 11503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Lst>
          <a:rect l="l" t="t" r="r" b="b"/>
          <a:pathLst>
            <a:path w="7387675" h="1150374">
              <a:moveTo>
                <a:pt x="2653750" y="165103"/>
              </a:moveTo>
              <a:cubicBezTo>
                <a:pt x="2653750" y="121315"/>
                <a:pt x="2671145" y="79320"/>
                <a:pt x="2702108" y="48358"/>
              </a:cubicBezTo>
              <a:cubicBezTo>
                <a:pt x="2733071" y="17395"/>
                <a:pt x="2775066" y="1"/>
                <a:pt x="2818854" y="1"/>
              </a:cubicBezTo>
              <a:lnTo>
                <a:pt x="3442738" y="0"/>
              </a:lnTo>
              <a:lnTo>
                <a:pt x="3442738" y="0"/>
              </a:lnTo>
              <a:lnTo>
                <a:pt x="4626219" y="0"/>
              </a:lnTo>
              <a:lnTo>
                <a:pt x="7222572" y="0"/>
              </a:lnTo>
              <a:cubicBezTo>
                <a:pt x="7266360" y="0"/>
                <a:pt x="7308355" y="17395"/>
                <a:pt x="7339317" y="48358"/>
              </a:cubicBezTo>
              <a:cubicBezTo>
                <a:pt x="7370280" y="79321"/>
                <a:pt x="7387674" y="121316"/>
                <a:pt x="7387674" y="165104"/>
              </a:cubicBezTo>
              <a:cubicBezTo>
                <a:pt x="7387674" y="302686"/>
                <a:pt x="7387675" y="440268"/>
                <a:pt x="7387675" y="577850"/>
              </a:cubicBezTo>
              <a:lnTo>
                <a:pt x="7387675" y="577850"/>
              </a:lnTo>
              <a:lnTo>
                <a:pt x="7387675" y="825500"/>
              </a:lnTo>
              <a:lnTo>
                <a:pt x="7387675" y="825497"/>
              </a:lnTo>
              <a:cubicBezTo>
                <a:pt x="7387675" y="869285"/>
                <a:pt x="7370280" y="911280"/>
                <a:pt x="7339317" y="942242"/>
              </a:cubicBezTo>
              <a:cubicBezTo>
                <a:pt x="7308354" y="973205"/>
                <a:pt x="7266360" y="990600"/>
                <a:pt x="7222571" y="990600"/>
              </a:cubicBezTo>
              <a:lnTo>
                <a:pt x="4626219" y="990600"/>
              </a:lnTo>
              <a:lnTo>
                <a:pt x="3442738" y="990600"/>
              </a:lnTo>
              <a:lnTo>
                <a:pt x="3442738" y="990600"/>
              </a:lnTo>
              <a:lnTo>
                <a:pt x="2818853" y="990600"/>
              </a:lnTo>
              <a:cubicBezTo>
                <a:pt x="2775065" y="990600"/>
                <a:pt x="2733070" y="973205"/>
                <a:pt x="2702108" y="942242"/>
              </a:cubicBezTo>
              <a:cubicBezTo>
                <a:pt x="2671145" y="911279"/>
                <a:pt x="2653751" y="869285"/>
                <a:pt x="2653751" y="825496"/>
              </a:cubicBezTo>
              <a:lnTo>
                <a:pt x="2653751" y="830826"/>
              </a:lnTo>
              <a:lnTo>
                <a:pt x="0" y="1150374"/>
              </a:lnTo>
              <a:lnTo>
                <a:pt x="2653750" y="577850"/>
              </a:lnTo>
              <a:lnTo>
                <a:pt x="2653750" y="165103"/>
              </a:lnTo>
              <a:close/>
            </a:path>
          </a:pathLst>
        </a:custGeom>
        <a:solidFill>
          <a:srgbClr val="FF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en-US"/>
        </a:p>
      </xdr:txBody>
    </xdr:sp>
    <xdr:clientData/>
  </xdr:twoCellAnchor>
  <xdr:twoCellAnchor>
    <xdr:from>
      <xdr:col>16</xdr:col>
      <xdr:colOff>504825</xdr:colOff>
      <xdr:row>4</xdr:row>
      <xdr:rowOff>0</xdr:rowOff>
    </xdr:from>
    <xdr:to>
      <xdr:col>28</xdr:col>
      <xdr:colOff>447675</xdr:colOff>
      <xdr:row>7</xdr:row>
      <xdr:rowOff>0</xdr:rowOff>
    </xdr:to>
    <xdr:sp macro="" textlink="">
      <xdr:nvSpPr>
        <xdr:cNvPr id="6" name="TextBox 5">
          <a:extLst>
            <a:ext uri="{FF2B5EF4-FFF2-40B4-BE49-F238E27FC236}">
              <a16:creationId xmlns:a16="http://schemas.microsoft.com/office/drawing/2014/main" id="{00000000-0008-0000-0500-000006000000}"/>
            </a:ext>
          </a:extLst>
        </xdr:cNvPr>
        <xdr:cNvSpPr txBox="1"/>
      </xdr:nvSpPr>
      <xdr:spPr>
        <a:xfrm>
          <a:off x="11963400" y="923925"/>
          <a:ext cx="7343775" cy="7429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0" i="0">
              <a:solidFill>
                <a:schemeClr val="dk1"/>
              </a:solidFill>
              <a:latin typeface="+mn-lt"/>
              <a:ea typeface="+mn-ea"/>
              <a:cs typeface="+mn-cs"/>
            </a:rPr>
            <a:t>UDX and PUDX Legs Special Notes!  Please enter UDX and  PUDX Legs in the following order. Enter the Utility Leg or the Preferred Utility Leg  first and then enter the Open leg or the Preferred Open Leg  in the next column using the same date.  Under the standard leg column enter yes for both legs.</a:t>
          </a:r>
          <a:r>
            <a:rPr lang="en-US" sz="1100">
              <a:solidFill>
                <a:schemeClr val="dk1"/>
              </a:solidFill>
              <a:latin typeface="+mn-lt"/>
              <a:ea typeface="+mn-ea"/>
              <a:cs typeface="+mn-cs"/>
            </a:rPr>
            <a:t> </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WRGRC%20Individual%20Work%20Sheet%202016%20rev%20J.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structions"/>
      <sheetName val="Summary"/>
      <sheetName val="Worker Requirements"/>
      <sheetName val="Conformation"/>
      <sheetName val="Junior Showmanship"/>
      <sheetName val="Obedience"/>
      <sheetName val="Agility"/>
      <sheetName val="Rally"/>
      <sheetName val="Tracking"/>
      <sheetName val="Field"/>
      <sheetName val="Point Schedule"/>
      <sheetName val="Pull Down Menus"/>
      <sheetName val="Tabulation Sheet"/>
      <sheetName val="Revision History"/>
    </sheetNames>
    <sheetDataSet>
      <sheetData sheetId="0"/>
      <sheetData sheetId="1"/>
      <sheetData sheetId="2"/>
      <sheetData sheetId="3"/>
      <sheetData sheetId="4"/>
      <sheetData sheetId="5"/>
      <sheetData sheetId="6"/>
      <sheetData sheetId="7"/>
      <sheetData sheetId="8"/>
      <sheetData sheetId="9"/>
      <sheetData sheetId="10">
        <row r="28">
          <cell r="C28">
            <v>3</v>
          </cell>
        </row>
      </sheetData>
      <sheetData sheetId="11"/>
      <sheetData sheetId="12"/>
      <sheetData sheetId="13"/>
    </sheetDataSet>
  </externalBook>
</externalLink>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pageSetUpPr fitToPage="1"/>
  </sheetPr>
  <dimension ref="A1:Y60"/>
  <sheetViews>
    <sheetView topLeftCell="B25" workbookViewId="0">
      <selection activeCell="N12" sqref="N12"/>
    </sheetView>
  </sheetViews>
  <sheetFormatPr defaultColWidth="8.76953125" defaultRowHeight="13" x14ac:dyDescent="0.6"/>
  <cols>
    <col min="1" max="1" width="4.6796875" customWidth="1"/>
    <col min="13" max="13" width="2.6796875" customWidth="1"/>
  </cols>
  <sheetData>
    <row r="1" spans="1:25" ht="14.5" thickTop="1" thickBot="1" x14ac:dyDescent="0.75">
      <c r="A1" s="356"/>
      <c r="B1" s="357"/>
      <c r="C1" s="357"/>
      <c r="D1" s="357"/>
      <c r="E1" s="357"/>
      <c r="F1" s="357"/>
      <c r="G1" s="357"/>
      <c r="H1" s="357"/>
      <c r="I1" s="357"/>
      <c r="J1" s="357"/>
      <c r="K1" s="357"/>
      <c r="L1" s="357"/>
      <c r="M1" s="358"/>
    </row>
    <row r="2" spans="1:25" ht="31" thickTop="1" x14ac:dyDescent="1.25">
      <c r="A2" s="359"/>
      <c r="B2" s="344" t="s">
        <v>279</v>
      </c>
      <c r="C2" s="345"/>
      <c r="D2" s="345"/>
      <c r="E2" s="345"/>
      <c r="F2" s="345"/>
      <c r="G2" s="345"/>
      <c r="H2" s="345"/>
      <c r="I2" s="345"/>
      <c r="J2" s="345"/>
      <c r="K2" s="345"/>
      <c r="L2" s="346"/>
      <c r="M2" s="145"/>
    </row>
    <row r="3" spans="1:25" ht="15" customHeight="1" x14ac:dyDescent="0.6">
      <c r="A3" s="360"/>
      <c r="B3" s="135"/>
      <c r="C3" s="135"/>
      <c r="D3" s="135"/>
      <c r="E3" s="135"/>
      <c r="F3" s="135"/>
      <c r="G3" s="135"/>
      <c r="H3" s="135"/>
      <c r="I3" s="135"/>
      <c r="J3" s="135"/>
      <c r="K3" s="135"/>
      <c r="L3" s="135"/>
      <c r="M3" s="145"/>
    </row>
    <row r="4" spans="1:25" ht="15" customHeight="1" x14ac:dyDescent="0.6">
      <c r="A4" s="360"/>
      <c r="B4" s="332" t="s">
        <v>351</v>
      </c>
      <c r="C4" s="333"/>
      <c r="D4" s="333"/>
      <c r="E4" s="333"/>
      <c r="F4" s="333"/>
      <c r="G4" s="333"/>
      <c r="H4" s="333"/>
      <c r="I4" s="333"/>
      <c r="J4" s="333"/>
      <c r="K4" s="333"/>
      <c r="L4" s="334"/>
      <c r="M4" s="145"/>
      <c r="O4" s="167"/>
      <c r="P4" s="167"/>
      <c r="Q4" s="167"/>
      <c r="R4" s="167"/>
      <c r="S4" s="167"/>
      <c r="T4" s="167"/>
      <c r="U4" s="167"/>
      <c r="V4" s="167"/>
      <c r="W4" s="167"/>
      <c r="X4" s="167"/>
      <c r="Y4" s="167"/>
    </row>
    <row r="5" spans="1:25" ht="15" customHeight="1" x14ac:dyDescent="0.6">
      <c r="A5" s="360"/>
      <c r="B5" s="335"/>
      <c r="C5" s="336"/>
      <c r="D5" s="336"/>
      <c r="E5" s="336"/>
      <c r="F5" s="336"/>
      <c r="G5" s="336"/>
      <c r="H5" s="336"/>
      <c r="I5" s="336"/>
      <c r="J5" s="336"/>
      <c r="K5" s="336"/>
      <c r="L5" s="337"/>
      <c r="M5" s="145"/>
      <c r="O5" s="167"/>
      <c r="P5" s="167"/>
      <c r="Q5" s="167"/>
      <c r="R5" s="167"/>
      <c r="S5" s="167"/>
      <c r="T5" s="167"/>
      <c r="U5" s="167"/>
      <c r="V5" s="167"/>
      <c r="W5" s="167"/>
      <c r="X5" s="167"/>
      <c r="Y5" s="167"/>
    </row>
    <row r="6" spans="1:25" ht="15" customHeight="1" x14ac:dyDescent="0.6">
      <c r="A6" s="360"/>
      <c r="B6" s="335"/>
      <c r="C6" s="336"/>
      <c r="D6" s="336"/>
      <c r="E6" s="336"/>
      <c r="F6" s="336"/>
      <c r="G6" s="336"/>
      <c r="H6" s="336"/>
      <c r="I6" s="336"/>
      <c r="J6" s="336"/>
      <c r="K6" s="336"/>
      <c r="L6" s="337"/>
      <c r="M6" s="145"/>
      <c r="O6" s="167"/>
      <c r="P6" s="167"/>
      <c r="Q6" s="167"/>
      <c r="R6" s="167"/>
      <c r="S6" s="167"/>
      <c r="T6" s="167"/>
      <c r="U6" s="167"/>
      <c r="V6" s="167"/>
      <c r="W6" s="167"/>
      <c r="X6" s="167"/>
      <c r="Y6" s="167"/>
    </row>
    <row r="7" spans="1:25" ht="15" customHeight="1" x14ac:dyDescent="0.6">
      <c r="A7" s="360"/>
      <c r="B7" s="335"/>
      <c r="C7" s="336"/>
      <c r="D7" s="336"/>
      <c r="E7" s="336"/>
      <c r="F7" s="336"/>
      <c r="G7" s="336"/>
      <c r="H7" s="336"/>
      <c r="I7" s="336"/>
      <c r="J7" s="336"/>
      <c r="K7" s="336"/>
      <c r="L7" s="337"/>
      <c r="M7" s="145"/>
      <c r="O7" s="167"/>
      <c r="P7" s="167"/>
      <c r="Q7" s="167"/>
      <c r="R7" s="167"/>
      <c r="S7" s="167"/>
      <c r="T7" s="167"/>
      <c r="U7" s="167"/>
      <c r="V7" s="167"/>
      <c r="W7" s="167"/>
      <c r="X7" s="167"/>
      <c r="Y7" s="167"/>
    </row>
    <row r="8" spans="1:25" ht="15" customHeight="1" x14ac:dyDescent="0.6">
      <c r="A8" s="360"/>
      <c r="B8" s="335"/>
      <c r="C8" s="336"/>
      <c r="D8" s="336"/>
      <c r="E8" s="336"/>
      <c r="F8" s="336"/>
      <c r="G8" s="336"/>
      <c r="H8" s="336"/>
      <c r="I8" s="336"/>
      <c r="J8" s="336"/>
      <c r="K8" s="336"/>
      <c r="L8" s="337"/>
      <c r="M8" s="145"/>
      <c r="O8" s="167"/>
      <c r="P8" s="167"/>
      <c r="Q8" s="167"/>
      <c r="R8" s="167"/>
      <c r="S8" s="167"/>
      <c r="T8" s="167"/>
      <c r="U8" s="167"/>
      <c r="V8" s="167"/>
      <c r="W8" s="167"/>
      <c r="X8" s="167"/>
      <c r="Y8" s="167"/>
    </row>
    <row r="9" spans="1:25" ht="15" customHeight="1" x14ac:dyDescent="0.6">
      <c r="A9" s="360"/>
      <c r="B9" s="335"/>
      <c r="C9" s="336"/>
      <c r="D9" s="336"/>
      <c r="E9" s="336"/>
      <c r="F9" s="336"/>
      <c r="G9" s="336"/>
      <c r="H9" s="336"/>
      <c r="I9" s="336"/>
      <c r="J9" s="336"/>
      <c r="K9" s="336"/>
      <c r="L9" s="337"/>
      <c r="M9" s="145"/>
      <c r="O9" s="167"/>
      <c r="P9" s="167"/>
      <c r="Q9" s="167"/>
      <c r="R9" s="167"/>
      <c r="S9" s="167"/>
      <c r="T9" s="167"/>
      <c r="U9" s="167"/>
      <c r="V9" s="167"/>
      <c r="W9" s="167"/>
      <c r="X9" s="167"/>
      <c r="Y9" s="167"/>
    </row>
    <row r="10" spans="1:25" ht="15" customHeight="1" x14ac:dyDescent="0.6">
      <c r="A10" s="360"/>
      <c r="B10" s="335"/>
      <c r="C10" s="336"/>
      <c r="D10" s="336"/>
      <c r="E10" s="336"/>
      <c r="F10" s="336"/>
      <c r="G10" s="336"/>
      <c r="H10" s="336"/>
      <c r="I10" s="336"/>
      <c r="J10" s="336"/>
      <c r="K10" s="336"/>
      <c r="L10" s="337"/>
      <c r="M10" s="145"/>
      <c r="O10" s="167"/>
      <c r="P10" s="167"/>
      <c r="Q10" s="167"/>
      <c r="R10" s="167"/>
      <c r="S10" s="167"/>
      <c r="T10" s="167"/>
      <c r="U10" s="167"/>
      <c r="V10" s="167"/>
      <c r="W10" s="167"/>
      <c r="X10" s="167"/>
      <c r="Y10" s="167"/>
    </row>
    <row r="11" spans="1:25" ht="12.75" customHeight="1" x14ac:dyDescent="0.6">
      <c r="A11" s="360"/>
      <c r="B11" s="335"/>
      <c r="C11" s="336"/>
      <c r="D11" s="336"/>
      <c r="E11" s="336"/>
      <c r="F11" s="336"/>
      <c r="G11" s="336"/>
      <c r="H11" s="336"/>
      <c r="I11" s="336"/>
      <c r="J11" s="336"/>
      <c r="K11" s="336"/>
      <c r="L11" s="337"/>
      <c r="M11" s="145"/>
      <c r="O11" s="167"/>
      <c r="P11" s="167"/>
      <c r="Q11" s="167"/>
      <c r="R11" s="167"/>
      <c r="S11" s="167"/>
      <c r="T11" s="167"/>
      <c r="U11" s="167"/>
      <c r="V11" s="167"/>
      <c r="W11" s="167"/>
      <c r="X11" s="167"/>
      <c r="Y11" s="167"/>
    </row>
    <row r="12" spans="1:25" ht="150.75" customHeight="1" x14ac:dyDescent="0.6">
      <c r="A12" s="360"/>
      <c r="B12" s="338"/>
      <c r="C12" s="339"/>
      <c r="D12" s="339"/>
      <c r="E12" s="339"/>
      <c r="F12" s="339"/>
      <c r="G12" s="339"/>
      <c r="H12" s="339"/>
      <c r="I12" s="339"/>
      <c r="J12" s="339"/>
      <c r="K12" s="339"/>
      <c r="L12" s="340"/>
      <c r="M12" s="145"/>
      <c r="O12" s="167"/>
      <c r="P12" s="167"/>
      <c r="Q12" s="167"/>
      <c r="R12" s="167"/>
      <c r="S12" s="167"/>
      <c r="T12" s="167"/>
      <c r="U12" s="167"/>
      <c r="V12" s="167"/>
      <c r="W12" s="167"/>
      <c r="X12" s="167"/>
      <c r="Y12" s="167"/>
    </row>
    <row r="13" spans="1:25" ht="15" customHeight="1" x14ac:dyDescent="0.6">
      <c r="A13" s="360"/>
      <c r="B13" s="135"/>
      <c r="C13" s="135"/>
      <c r="D13" s="135"/>
      <c r="E13" s="135"/>
      <c r="F13" s="135"/>
      <c r="G13" s="135"/>
      <c r="H13" s="135"/>
      <c r="I13" s="135"/>
      <c r="J13" s="135"/>
      <c r="K13" s="135"/>
      <c r="L13" s="135"/>
      <c r="M13" s="145"/>
      <c r="O13" s="167"/>
      <c r="P13" s="167"/>
      <c r="Q13" s="167"/>
      <c r="R13" s="167"/>
      <c r="S13" s="167"/>
      <c r="T13" s="167"/>
      <c r="U13" s="167"/>
      <c r="V13" s="167"/>
      <c r="W13" s="167"/>
      <c r="X13" s="167"/>
      <c r="Y13" s="167"/>
    </row>
    <row r="14" spans="1:25" ht="15" customHeight="1" x14ac:dyDescent="0.6">
      <c r="A14" s="360"/>
      <c r="B14" s="329">
        <v>1</v>
      </c>
      <c r="C14" s="347" t="s">
        <v>349</v>
      </c>
      <c r="D14" s="348"/>
      <c r="E14" s="348"/>
      <c r="F14" s="348"/>
      <c r="G14" s="348"/>
      <c r="H14" s="348"/>
      <c r="I14" s="348"/>
      <c r="J14" s="348"/>
      <c r="K14" s="348"/>
      <c r="L14" s="349"/>
      <c r="M14" s="145"/>
      <c r="O14" s="167"/>
      <c r="P14" s="167"/>
      <c r="Q14" s="167"/>
      <c r="R14" s="167"/>
      <c r="S14" s="167"/>
      <c r="T14" s="167"/>
      <c r="U14" s="167"/>
      <c r="V14" s="167"/>
      <c r="W14" s="167"/>
      <c r="X14" s="167"/>
      <c r="Y14" s="167"/>
    </row>
    <row r="15" spans="1:25" ht="15" customHeight="1" x14ac:dyDescent="0.6">
      <c r="A15" s="360"/>
      <c r="B15" s="330"/>
      <c r="C15" s="350"/>
      <c r="D15" s="351"/>
      <c r="E15" s="351"/>
      <c r="F15" s="351"/>
      <c r="G15" s="351"/>
      <c r="H15" s="351"/>
      <c r="I15" s="351"/>
      <c r="J15" s="351"/>
      <c r="K15" s="351"/>
      <c r="L15" s="352"/>
      <c r="M15" s="145"/>
      <c r="O15" s="167"/>
      <c r="P15" s="167"/>
      <c r="Q15" s="167"/>
      <c r="R15" s="167"/>
      <c r="S15" s="167"/>
      <c r="T15" s="167"/>
      <c r="U15" s="167"/>
      <c r="V15" s="167"/>
      <c r="W15" s="167"/>
      <c r="X15" s="167"/>
      <c r="Y15" s="167"/>
    </row>
    <row r="16" spans="1:25" ht="15" customHeight="1" x14ac:dyDescent="0.6">
      <c r="A16" s="360"/>
      <c r="B16" s="330"/>
      <c r="C16" s="350"/>
      <c r="D16" s="351"/>
      <c r="E16" s="351"/>
      <c r="F16" s="351"/>
      <c r="G16" s="351"/>
      <c r="H16" s="351"/>
      <c r="I16" s="351"/>
      <c r="J16" s="351"/>
      <c r="K16" s="351"/>
      <c r="L16" s="352"/>
      <c r="M16" s="145"/>
      <c r="O16" s="167"/>
      <c r="P16" s="167"/>
      <c r="Q16" s="167"/>
      <c r="R16" s="167"/>
      <c r="S16" s="167"/>
      <c r="T16" s="167"/>
      <c r="U16" s="167"/>
      <c r="V16" s="167"/>
      <c r="W16" s="167"/>
      <c r="X16" s="167"/>
      <c r="Y16" s="167"/>
    </row>
    <row r="17" spans="1:25" ht="15" customHeight="1" x14ac:dyDescent="0.6">
      <c r="A17" s="360"/>
      <c r="B17" s="330"/>
      <c r="C17" s="350"/>
      <c r="D17" s="351"/>
      <c r="E17" s="351"/>
      <c r="F17" s="351"/>
      <c r="G17" s="351"/>
      <c r="H17" s="351"/>
      <c r="I17" s="351"/>
      <c r="J17" s="351"/>
      <c r="K17" s="351"/>
      <c r="L17" s="352"/>
      <c r="M17" s="145"/>
      <c r="O17" s="167"/>
      <c r="P17" s="167"/>
      <c r="Q17" s="167"/>
      <c r="R17" s="167"/>
      <c r="S17" s="167"/>
      <c r="T17" s="167"/>
      <c r="U17" s="167"/>
      <c r="V17" s="167"/>
      <c r="W17" s="167"/>
      <c r="X17" s="167"/>
      <c r="Y17" s="167"/>
    </row>
    <row r="18" spans="1:25" ht="24.75" customHeight="1" x14ac:dyDescent="0.6">
      <c r="A18" s="360"/>
      <c r="B18" s="331"/>
      <c r="C18" s="353"/>
      <c r="D18" s="354"/>
      <c r="E18" s="354"/>
      <c r="F18" s="354"/>
      <c r="G18" s="354"/>
      <c r="H18" s="354"/>
      <c r="I18" s="354"/>
      <c r="J18" s="354"/>
      <c r="K18" s="354"/>
      <c r="L18" s="355"/>
      <c r="M18" s="145"/>
      <c r="O18" s="167"/>
      <c r="P18" s="167"/>
      <c r="Q18" s="167"/>
      <c r="R18" s="167"/>
      <c r="S18" s="167"/>
      <c r="T18" s="167"/>
      <c r="U18" s="167"/>
      <c r="V18" s="167"/>
      <c r="W18" s="167"/>
      <c r="X18" s="167"/>
      <c r="Y18" s="167"/>
    </row>
    <row r="19" spans="1:25" ht="15" customHeight="1" x14ac:dyDescent="0.6">
      <c r="A19" s="360"/>
      <c r="B19" s="135"/>
      <c r="C19" s="135"/>
      <c r="D19" s="135"/>
      <c r="E19" s="135"/>
      <c r="F19" s="135"/>
      <c r="G19" s="135"/>
      <c r="H19" s="135"/>
      <c r="I19" s="135"/>
      <c r="J19" s="135"/>
      <c r="K19" s="135"/>
      <c r="L19" s="135"/>
      <c r="M19" s="145"/>
      <c r="O19" s="167"/>
      <c r="P19" s="167"/>
      <c r="Q19" s="167"/>
      <c r="R19" s="167"/>
      <c r="S19" s="167"/>
      <c r="T19" s="167"/>
      <c r="U19" s="167"/>
      <c r="V19" s="167"/>
      <c r="W19" s="167"/>
      <c r="X19" s="167"/>
      <c r="Y19" s="167"/>
    </row>
    <row r="20" spans="1:25" ht="15" customHeight="1" x14ac:dyDescent="0.6">
      <c r="A20" s="360"/>
      <c r="B20" s="378">
        <v>2</v>
      </c>
      <c r="C20" s="373" t="s">
        <v>433</v>
      </c>
      <c r="D20" s="365"/>
      <c r="E20" s="365"/>
      <c r="F20" s="365"/>
      <c r="G20" s="365"/>
      <c r="H20" s="365"/>
      <c r="I20" s="365"/>
      <c r="J20" s="365"/>
      <c r="K20" s="365"/>
      <c r="L20" s="366"/>
      <c r="M20" s="145"/>
      <c r="O20" s="167"/>
      <c r="P20" s="167"/>
      <c r="Q20" s="167"/>
      <c r="R20" s="167"/>
      <c r="S20" s="167"/>
      <c r="T20" s="167"/>
      <c r="U20" s="167"/>
      <c r="V20" s="167"/>
      <c r="W20" s="167"/>
      <c r="X20" s="167"/>
      <c r="Y20" s="167"/>
    </row>
    <row r="21" spans="1:25" ht="15" customHeight="1" x14ac:dyDescent="0.6">
      <c r="A21" s="360"/>
      <c r="B21" s="379"/>
      <c r="C21" s="367"/>
      <c r="D21" s="368"/>
      <c r="E21" s="368"/>
      <c r="F21" s="368"/>
      <c r="G21" s="368"/>
      <c r="H21" s="368"/>
      <c r="I21" s="368"/>
      <c r="J21" s="368"/>
      <c r="K21" s="368"/>
      <c r="L21" s="369"/>
      <c r="M21" s="145"/>
      <c r="O21" s="167"/>
      <c r="P21" s="167"/>
      <c r="Q21" s="167"/>
      <c r="R21" s="167"/>
      <c r="S21" s="167"/>
      <c r="T21" s="167"/>
      <c r="U21" s="167"/>
      <c r="V21" s="167"/>
      <c r="W21" s="167"/>
      <c r="X21" s="167"/>
      <c r="Y21" s="167"/>
    </row>
    <row r="22" spans="1:25" ht="15" customHeight="1" x14ac:dyDescent="0.6">
      <c r="A22" s="360"/>
      <c r="B22" s="379"/>
      <c r="C22" s="367"/>
      <c r="D22" s="368"/>
      <c r="E22" s="368"/>
      <c r="F22" s="368"/>
      <c r="G22" s="368"/>
      <c r="H22" s="368"/>
      <c r="I22" s="368"/>
      <c r="J22" s="368"/>
      <c r="K22" s="368"/>
      <c r="L22" s="369"/>
      <c r="M22" s="145"/>
      <c r="O22" s="167"/>
      <c r="P22" s="167"/>
      <c r="Q22" s="167"/>
      <c r="R22" s="167"/>
      <c r="S22" s="167"/>
      <c r="T22" s="167"/>
      <c r="U22" s="167"/>
      <c r="V22" s="167"/>
      <c r="W22" s="167"/>
      <c r="X22" s="167"/>
      <c r="Y22" s="167"/>
    </row>
    <row r="23" spans="1:25" ht="9.75" customHeight="1" x14ac:dyDescent="0.6">
      <c r="A23" s="360"/>
      <c r="B23" s="379"/>
      <c r="C23" s="367"/>
      <c r="D23" s="368"/>
      <c r="E23" s="368"/>
      <c r="F23" s="368"/>
      <c r="G23" s="368"/>
      <c r="H23" s="368"/>
      <c r="I23" s="368"/>
      <c r="J23" s="368"/>
      <c r="K23" s="368"/>
      <c r="L23" s="369"/>
      <c r="M23" s="145"/>
      <c r="O23" s="167"/>
      <c r="P23" s="167"/>
      <c r="Q23" s="167"/>
      <c r="R23" s="167"/>
      <c r="S23" s="167"/>
      <c r="T23" s="167"/>
      <c r="U23" s="167"/>
      <c r="V23" s="167"/>
      <c r="W23" s="167"/>
      <c r="X23" s="167"/>
      <c r="Y23" s="167"/>
    </row>
    <row r="24" spans="1:25" ht="9" customHeight="1" x14ac:dyDescent="0.6">
      <c r="A24" s="360"/>
      <c r="B24" s="379"/>
      <c r="C24" s="367"/>
      <c r="D24" s="368"/>
      <c r="E24" s="368"/>
      <c r="F24" s="368"/>
      <c r="G24" s="368"/>
      <c r="H24" s="368"/>
      <c r="I24" s="368"/>
      <c r="J24" s="368"/>
      <c r="K24" s="368"/>
      <c r="L24" s="369"/>
      <c r="M24" s="145"/>
      <c r="O24" s="167"/>
      <c r="P24" s="167"/>
      <c r="Q24" s="167"/>
      <c r="R24" s="167"/>
      <c r="S24" s="167"/>
      <c r="T24" s="167"/>
      <c r="U24" s="167"/>
      <c r="V24" s="167"/>
      <c r="W24" s="167"/>
      <c r="X24" s="167"/>
      <c r="Y24" s="167"/>
    </row>
    <row r="25" spans="1:25" ht="18.75" customHeight="1" x14ac:dyDescent="0.6">
      <c r="A25" s="360"/>
      <c r="B25" s="380"/>
      <c r="C25" s="370"/>
      <c r="D25" s="371"/>
      <c r="E25" s="371"/>
      <c r="F25" s="371"/>
      <c r="G25" s="371"/>
      <c r="H25" s="371"/>
      <c r="I25" s="371"/>
      <c r="J25" s="371"/>
      <c r="K25" s="371"/>
      <c r="L25" s="372"/>
      <c r="M25" s="145"/>
      <c r="O25" s="167"/>
      <c r="P25" s="167"/>
      <c r="Q25" s="167"/>
      <c r="R25" s="167"/>
      <c r="S25" s="167"/>
      <c r="T25" s="167"/>
      <c r="U25" s="167"/>
      <c r="V25" s="167"/>
      <c r="W25" s="167"/>
      <c r="X25" s="167"/>
      <c r="Y25" s="167"/>
    </row>
    <row r="26" spans="1:25" ht="15" customHeight="1" x14ac:dyDescent="0.6">
      <c r="A26" s="360"/>
      <c r="B26" s="143"/>
      <c r="C26" s="143"/>
      <c r="D26" s="143"/>
      <c r="E26" s="143"/>
      <c r="F26" s="143"/>
      <c r="G26" s="143"/>
      <c r="H26" s="143"/>
      <c r="I26" s="143"/>
      <c r="J26" s="143"/>
      <c r="K26" s="143"/>
      <c r="L26" s="143"/>
      <c r="M26" s="145"/>
      <c r="O26" s="167"/>
      <c r="P26" s="167"/>
      <c r="Q26" s="167"/>
      <c r="R26" s="167"/>
      <c r="S26" s="167"/>
      <c r="T26" s="167"/>
      <c r="U26" s="167"/>
      <c r="V26" s="167"/>
      <c r="W26" s="167"/>
      <c r="X26" s="167"/>
      <c r="Y26" s="167"/>
    </row>
    <row r="27" spans="1:25" ht="15" customHeight="1" x14ac:dyDescent="0.6">
      <c r="A27" s="360"/>
      <c r="B27" s="329">
        <v>3</v>
      </c>
      <c r="C27" s="373" t="s">
        <v>434</v>
      </c>
      <c r="D27" s="365"/>
      <c r="E27" s="365"/>
      <c r="F27" s="365"/>
      <c r="G27" s="365"/>
      <c r="H27" s="365"/>
      <c r="I27" s="365"/>
      <c r="J27" s="365"/>
      <c r="K27" s="365"/>
      <c r="L27" s="366"/>
      <c r="M27" s="145"/>
      <c r="O27" s="167"/>
      <c r="P27" s="167"/>
      <c r="Q27" s="167"/>
      <c r="R27" s="167"/>
      <c r="S27" s="167"/>
      <c r="T27" s="167"/>
      <c r="U27" s="167"/>
      <c r="V27" s="167"/>
      <c r="W27" s="167"/>
      <c r="X27" s="167"/>
      <c r="Y27" s="167"/>
    </row>
    <row r="28" spans="1:25" ht="15" customHeight="1" x14ac:dyDescent="0.6">
      <c r="A28" s="360"/>
      <c r="B28" s="330"/>
      <c r="C28" s="367"/>
      <c r="D28" s="368"/>
      <c r="E28" s="368"/>
      <c r="F28" s="368"/>
      <c r="G28" s="368"/>
      <c r="H28" s="368"/>
      <c r="I28" s="368"/>
      <c r="J28" s="368"/>
      <c r="K28" s="368"/>
      <c r="L28" s="369"/>
      <c r="M28" s="145"/>
      <c r="O28" s="167"/>
      <c r="P28" s="167"/>
      <c r="Q28" s="167"/>
      <c r="R28" s="167"/>
      <c r="S28" s="167"/>
      <c r="T28" s="167"/>
      <c r="U28" s="167"/>
      <c r="V28" s="167"/>
      <c r="W28" s="167"/>
      <c r="X28" s="167"/>
      <c r="Y28" s="167"/>
    </row>
    <row r="29" spans="1:25" ht="15" customHeight="1" x14ac:dyDescent="0.6">
      <c r="A29" s="360"/>
      <c r="B29" s="330"/>
      <c r="C29" s="367"/>
      <c r="D29" s="368"/>
      <c r="E29" s="368"/>
      <c r="F29" s="368"/>
      <c r="G29" s="368"/>
      <c r="H29" s="368"/>
      <c r="I29" s="368"/>
      <c r="J29" s="368"/>
      <c r="K29" s="368"/>
      <c r="L29" s="369"/>
      <c r="M29" s="145"/>
      <c r="O29" s="167"/>
      <c r="P29" s="167"/>
      <c r="Q29" s="167"/>
      <c r="R29" s="167"/>
      <c r="S29" s="167"/>
      <c r="T29" s="167"/>
      <c r="U29" s="167"/>
      <c r="V29" s="167"/>
      <c r="W29" s="167"/>
      <c r="X29" s="167"/>
      <c r="Y29" s="167"/>
    </row>
    <row r="30" spans="1:25" ht="15" customHeight="1" x14ac:dyDescent="0.6">
      <c r="A30" s="360"/>
      <c r="B30" s="330"/>
      <c r="C30" s="367"/>
      <c r="D30" s="368"/>
      <c r="E30" s="368"/>
      <c r="F30" s="368"/>
      <c r="G30" s="368"/>
      <c r="H30" s="368"/>
      <c r="I30" s="368"/>
      <c r="J30" s="368"/>
      <c r="K30" s="368"/>
      <c r="L30" s="369"/>
      <c r="M30" s="145"/>
      <c r="O30" s="167"/>
      <c r="P30" s="167"/>
      <c r="Q30" s="167"/>
      <c r="R30" s="167"/>
      <c r="S30" s="167"/>
      <c r="T30" s="167"/>
      <c r="U30" s="167"/>
      <c r="V30" s="167"/>
      <c r="W30" s="167"/>
      <c r="X30" s="167"/>
      <c r="Y30" s="167"/>
    </row>
    <row r="31" spans="1:25" ht="15" customHeight="1" x14ac:dyDescent="0.6">
      <c r="A31" s="360"/>
      <c r="B31" s="330"/>
      <c r="C31" s="367"/>
      <c r="D31" s="368"/>
      <c r="E31" s="368"/>
      <c r="F31" s="368"/>
      <c r="G31" s="368"/>
      <c r="H31" s="368"/>
      <c r="I31" s="368"/>
      <c r="J31" s="368"/>
      <c r="K31" s="368"/>
      <c r="L31" s="369"/>
      <c r="M31" s="145"/>
      <c r="O31" s="167"/>
      <c r="P31" s="167"/>
      <c r="Q31" s="167"/>
      <c r="R31" s="167"/>
      <c r="S31" s="167"/>
      <c r="T31" s="167"/>
      <c r="U31" s="167"/>
      <c r="V31" s="167"/>
      <c r="W31" s="167"/>
      <c r="X31" s="167"/>
      <c r="Y31" s="167"/>
    </row>
    <row r="32" spans="1:25" ht="25.5" customHeight="1" x14ac:dyDescent="0.6">
      <c r="A32" s="360"/>
      <c r="B32" s="331"/>
      <c r="C32" s="370"/>
      <c r="D32" s="371"/>
      <c r="E32" s="371"/>
      <c r="F32" s="371"/>
      <c r="G32" s="371"/>
      <c r="H32" s="371"/>
      <c r="I32" s="371"/>
      <c r="J32" s="371"/>
      <c r="K32" s="371"/>
      <c r="L32" s="372"/>
      <c r="M32" s="145"/>
      <c r="O32" s="167"/>
      <c r="P32" s="167"/>
      <c r="Q32" s="167"/>
      <c r="R32" s="167"/>
      <c r="S32" s="167"/>
      <c r="T32" s="167"/>
      <c r="U32" s="167"/>
      <c r="V32" s="167"/>
      <c r="W32" s="167"/>
      <c r="X32" s="167"/>
      <c r="Y32" s="167"/>
    </row>
    <row r="33" spans="1:25" ht="15" customHeight="1" x14ac:dyDescent="0.6">
      <c r="A33" s="360"/>
      <c r="B33" s="135"/>
      <c r="C33" s="135"/>
      <c r="D33" s="135"/>
      <c r="E33" s="135"/>
      <c r="F33" s="135"/>
      <c r="G33" s="135"/>
      <c r="H33" s="135"/>
      <c r="I33" s="135"/>
      <c r="J33" s="135"/>
      <c r="K33" s="135"/>
      <c r="L33" s="135"/>
      <c r="M33" s="145"/>
      <c r="O33" s="167"/>
      <c r="P33" s="167"/>
      <c r="Q33" s="167"/>
      <c r="R33" s="167"/>
      <c r="S33" s="167"/>
      <c r="T33" s="167"/>
      <c r="U33" s="167"/>
      <c r="V33" s="167"/>
      <c r="W33" s="167"/>
      <c r="X33" s="167"/>
      <c r="Y33" s="167"/>
    </row>
    <row r="34" spans="1:25" ht="15" customHeight="1" x14ac:dyDescent="0.6">
      <c r="A34" s="360"/>
      <c r="B34" s="329">
        <v>4</v>
      </c>
      <c r="C34" s="373" t="s">
        <v>435</v>
      </c>
      <c r="D34" s="365"/>
      <c r="E34" s="365"/>
      <c r="F34" s="365"/>
      <c r="G34" s="365"/>
      <c r="H34" s="365"/>
      <c r="I34" s="365"/>
      <c r="J34" s="365"/>
      <c r="K34" s="365"/>
      <c r="L34" s="366"/>
      <c r="M34" s="145"/>
      <c r="O34" s="167"/>
      <c r="P34" s="167"/>
      <c r="Q34" s="167"/>
      <c r="R34" s="167"/>
      <c r="S34" s="167"/>
      <c r="T34" s="167"/>
      <c r="U34" s="167"/>
      <c r="V34" s="167"/>
      <c r="W34" s="167"/>
      <c r="X34" s="167"/>
      <c r="Y34" s="167"/>
    </row>
    <row r="35" spans="1:25" ht="15" customHeight="1" x14ac:dyDescent="0.6">
      <c r="A35" s="360"/>
      <c r="B35" s="330"/>
      <c r="C35" s="367"/>
      <c r="D35" s="368"/>
      <c r="E35" s="368"/>
      <c r="F35" s="368"/>
      <c r="G35" s="368"/>
      <c r="H35" s="368"/>
      <c r="I35" s="368"/>
      <c r="J35" s="368"/>
      <c r="K35" s="368"/>
      <c r="L35" s="369"/>
      <c r="M35" s="145"/>
      <c r="O35" s="167"/>
      <c r="P35" s="167"/>
      <c r="Q35" s="167"/>
      <c r="R35" s="167"/>
      <c r="S35" s="167"/>
      <c r="T35" s="167"/>
      <c r="U35" s="167"/>
      <c r="V35" s="167"/>
      <c r="W35" s="167"/>
      <c r="X35" s="167"/>
      <c r="Y35" s="167"/>
    </row>
    <row r="36" spans="1:25" ht="15" customHeight="1" x14ac:dyDescent="0.6">
      <c r="A36" s="360"/>
      <c r="B36" s="330"/>
      <c r="C36" s="367"/>
      <c r="D36" s="368"/>
      <c r="E36" s="368"/>
      <c r="F36" s="368"/>
      <c r="G36" s="368"/>
      <c r="H36" s="368"/>
      <c r="I36" s="368"/>
      <c r="J36" s="368"/>
      <c r="K36" s="368"/>
      <c r="L36" s="369"/>
      <c r="M36" s="145"/>
      <c r="O36" s="167"/>
      <c r="P36" s="167"/>
      <c r="Q36" s="167"/>
      <c r="R36" s="167"/>
      <c r="S36" s="167"/>
      <c r="T36" s="167"/>
      <c r="U36" s="167"/>
      <c r="V36" s="167"/>
      <c r="W36" s="167"/>
      <c r="X36" s="167"/>
      <c r="Y36" s="167"/>
    </row>
    <row r="37" spans="1:25" ht="15" customHeight="1" x14ac:dyDescent="0.6">
      <c r="A37" s="360"/>
      <c r="B37" s="330"/>
      <c r="C37" s="367"/>
      <c r="D37" s="368"/>
      <c r="E37" s="368"/>
      <c r="F37" s="368"/>
      <c r="G37" s="368"/>
      <c r="H37" s="368"/>
      <c r="I37" s="368"/>
      <c r="J37" s="368"/>
      <c r="K37" s="368"/>
      <c r="L37" s="369"/>
      <c r="M37" s="145"/>
      <c r="O37" s="167"/>
      <c r="P37" s="167"/>
      <c r="Q37" s="167"/>
      <c r="R37" s="167"/>
      <c r="S37" s="167"/>
      <c r="T37" s="167"/>
      <c r="U37" s="167"/>
      <c r="V37" s="167"/>
      <c r="W37" s="167"/>
      <c r="X37" s="167"/>
      <c r="Y37" s="167"/>
    </row>
    <row r="38" spans="1:25" ht="24.75" customHeight="1" x14ac:dyDescent="0.6">
      <c r="A38" s="360"/>
      <c r="B38" s="331"/>
      <c r="C38" s="370"/>
      <c r="D38" s="371"/>
      <c r="E38" s="371"/>
      <c r="F38" s="371"/>
      <c r="G38" s="371"/>
      <c r="H38" s="371"/>
      <c r="I38" s="371"/>
      <c r="J38" s="371"/>
      <c r="K38" s="371"/>
      <c r="L38" s="372"/>
      <c r="M38" s="145"/>
      <c r="O38" s="167"/>
      <c r="P38" s="167"/>
      <c r="Q38" s="167"/>
      <c r="R38" s="167"/>
      <c r="S38" s="167"/>
      <c r="T38" s="167"/>
      <c r="U38" s="167"/>
      <c r="V38" s="167"/>
      <c r="W38" s="167"/>
      <c r="X38" s="167"/>
      <c r="Y38" s="167"/>
    </row>
    <row r="39" spans="1:25" ht="24.75" customHeight="1" x14ac:dyDescent="0.6">
      <c r="A39" s="360"/>
      <c r="B39" s="258"/>
      <c r="C39" s="254"/>
      <c r="D39" s="254"/>
      <c r="E39" s="254"/>
      <c r="F39" s="254"/>
      <c r="G39" s="254"/>
      <c r="H39" s="254"/>
      <c r="I39" s="254"/>
      <c r="J39" s="254"/>
      <c r="K39" s="254"/>
      <c r="L39" s="254"/>
      <c r="M39" s="145"/>
      <c r="O39" s="167"/>
      <c r="P39" s="167"/>
      <c r="Q39" s="167"/>
      <c r="R39" s="167"/>
      <c r="S39" s="167"/>
      <c r="T39" s="167"/>
      <c r="U39" s="167"/>
      <c r="V39" s="167"/>
      <c r="W39" s="167"/>
      <c r="X39" s="167"/>
      <c r="Y39" s="167"/>
    </row>
    <row r="40" spans="1:25" ht="24.75" customHeight="1" x14ac:dyDescent="0.6">
      <c r="A40" s="360"/>
      <c r="B40" s="329">
        <v>5</v>
      </c>
      <c r="C40" s="341" t="s">
        <v>506</v>
      </c>
      <c r="D40" s="341"/>
      <c r="E40" s="341"/>
      <c r="F40" s="341"/>
      <c r="G40" s="341"/>
      <c r="H40" s="341"/>
      <c r="I40" s="341"/>
      <c r="J40" s="341"/>
      <c r="K40" s="341"/>
      <c r="L40" s="341"/>
      <c r="M40" s="145"/>
      <c r="O40" s="167"/>
      <c r="P40" s="167"/>
      <c r="Q40" s="167"/>
      <c r="R40" s="167"/>
      <c r="S40" s="167"/>
      <c r="T40" s="167"/>
      <c r="U40" s="167"/>
      <c r="V40" s="167"/>
      <c r="W40" s="167"/>
      <c r="X40" s="167"/>
      <c r="Y40" s="167"/>
    </row>
    <row r="41" spans="1:25" ht="13.5" customHeight="1" x14ac:dyDescent="0.6">
      <c r="A41" s="360"/>
      <c r="B41" s="330"/>
      <c r="C41" s="342"/>
      <c r="D41" s="342"/>
      <c r="E41" s="342"/>
      <c r="F41" s="342"/>
      <c r="G41" s="342"/>
      <c r="H41" s="342"/>
      <c r="I41" s="342"/>
      <c r="J41" s="342"/>
      <c r="K41" s="342"/>
      <c r="L41" s="342"/>
      <c r="M41" s="145"/>
      <c r="O41" s="167"/>
      <c r="P41" s="167"/>
      <c r="Q41" s="167"/>
      <c r="R41" s="167"/>
      <c r="S41" s="167"/>
      <c r="T41" s="167"/>
      <c r="U41" s="167"/>
      <c r="V41" s="167"/>
      <c r="W41" s="167"/>
      <c r="X41" s="167"/>
      <c r="Y41" s="167"/>
    </row>
    <row r="42" spans="1:25" ht="14.25" customHeight="1" x14ac:dyDescent="0.6">
      <c r="A42" s="360"/>
      <c r="B42" s="331"/>
      <c r="C42" s="343"/>
      <c r="D42" s="343"/>
      <c r="E42" s="343"/>
      <c r="F42" s="343"/>
      <c r="G42" s="343"/>
      <c r="H42" s="343"/>
      <c r="I42" s="343"/>
      <c r="J42" s="343"/>
      <c r="K42" s="343"/>
      <c r="L42" s="343"/>
      <c r="M42" s="145"/>
      <c r="O42" s="167"/>
      <c r="P42" s="167"/>
      <c r="Q42" s="167"/>
      <c r="R42" s="167"/>
      <c r="S42" s="167"/>
      <c r="T42" s="167"/>
      <c r="U42" s="167"/>
      <c r="V42" s="167"/>
      <c r="W42" s="167"/>
      <c r="X42" s="167"/>
      <c r="Y42" s="167"/>
    </row>
    <row r="43" spans="1:25" ht="15" customHeight="1" x14ac:dyDescent="0.6">
      <c r="A43" s="360"/>
      <c r="B43" s="135"/>
      <c r="C43" s="135"/>
      <c r="D43" s="135"/>
      <c r="E43" s="135"/>
      <c r="F43" s="135"/>
      <c r="G43" s="135"/>
      <c r="H43" s="135"/>
      <c r="I43" s="135"/>
      <c r="J43" s="135"/>
      <c r="K43" s="135"/>
      <c r="L43" s="135"/>
      <c r="M43" s="145"/>
      <c r="O43" s="167"/>
      <c r="P43" s="167"/>
      <c r="Q43" s="167"/>
      <c r="R43" s="167"/>
      <c r="S43" s="167"/>
      <c r="T43" s="167"/>
      <c r="U43" s="167"/>
      <c r="V43" s="167"/>
      <c r="W43" s="167"/>
      <c r="X43" s="167"/>
      <c r="Y43" s="167"/>
    </row>
    <row r="44" spans="1:25" ht="15" customHeight="1" x14ac:dyDescent="0.6">
      <c r="A44" s="360"/>
      <c r="B44" s="362">
        <v>6</v>
      </c>
      <c r="C44" s="347" t="s">
        <v>642</v>
      </c>
      <c r="D44" s="365"/>
      <c r="E44" s="365"/>
      <c r="F44" s="365"/>
      <c r="G44" s="365"/>
      <c r="H44" s="365"/>
      <c r="I44" s="365"/>
      <c r="J44" s="365"/>
      <c r="K44" s="365"/>
      <c r="L44" s="366"/>
      <c r="M44" s="145"/>
    </row>
    <row r="45" spans="1:25" ht="12.75" customHeight="1" x14ac:dyDescent="0.6">
      <c r="A45" s="360"/>
      <c r="B45" s="363"/>
      <c r="C45" s="367"/>
      <c r="D45" s="368"/>
      <c r="E45" s="368"/>
      <c r="F45" s="368"/>
      <c r="G45" s="368"/>
      <c r="H45" s="368"/>
      <c r="I45" s="368"/>
      <c r="J45" s="368"/>
      <c r="K45" s="368"/>
      <c r="L45" s="369"/>
      <c r="M45" s="145"/>
    </row>
    <row r="46" spans="1:25" ht="13.5" customHeight="1" x14ac:dyDescent="0.6">
      <c r="A46" s="360"/>
      <c r="B46" s="363"/>
      <c r="C46" s="367"/>
      <c r="D46" s="368"/>
      <c r="E46" s="368"/>
      <c r="F46" s="368"/>
      <c r="G46" s="368"/>
      <c r="H46" s="368"/>
      <c r="I46" s="368"/>
      <c r="J46" s="368"/>
      <c r="K46" s="368"/>
      <c r="L46" s="369"/>
      <c r="M46" s="145"/>
      <c r="O46" s="166"/>
      <c r="P46" s="166"/>
      <c r="Q46" s="166"/>
      <c r="R46" s="166"/>
      <c r="S46" s="166"/>
      <c r="T46" s="166"/>
      <c r="U46" s="166"/>
      <c r="V46" s="166"/>
      <c r="W46" s="166"/>
      <c r="X46" s="166"/>
    </row>
    <row r="47" spans="1:25" ht="15" customHeight="1" x14ac:dyDescent="0.6">
      <c r="A47" s="360"/>
      <c r="B47" s="364"/>
      <c r="C47" s="370"/>
      <c r="D47" s="371"/>
      <c r="E47" s="371"/>
      <c r="F47" s="371"/>
      <c r="G47" s="371"/>
      <c r="H47" s="371"/>
      <c r="I47" s="371"/>
      <c r="J47" s="371"/>
      <c r="K47" s="371"/>
      <c r="L47" s="372"/>
      <c r="M47" s="145"/>
      <c r="O47" s="166"/>
      <c r="P47" s="166"/>
      <c r="Q47" s="166"/>
      <c r="R47" s="166"/>
      <c r="S47" s="166"/>
      <c r="T47" s="166"/>
      <c r="U47" s="166"/>
      <c r="V47" s="166"/>
      <c r="W47" s="166"/>
      <c r="X47" s="166"/>
    </row>
    <row r="48" spans="1:25" ht="15" customHeight="1" x14ac:dyDescent="0.6">
      <c r="A48" s="360"/>
      <c r="B48" s="135"/>
      <c r="C48" s="144"/>
      <c r="D48" s="144"/>
      <c r="E48" s="144"/>
      <c r="F48" s="144"/>
      <c r="G48" s="144"/>
      <c r="H48" s="144"/>
      <c r="I48" s="144"/>
      <c r="J48" s="144"/>
      <c r="K48" s="144"/>
      <c r="L48" s="144"/>
      <c r="M48" s="145"/>
      <c r="O48" s="166"/>
      <c r="P48" s="166"/>
      <c r="Q48" s="166"/>
      <c r="R48" s="166"/>
      <c r="S48" s="166"/>
      <c r="T48" s="166"/>
      <c r="U48" s="166"/>
      <c r="V48" s="166"/>
      <c r="W48" s="166"/>
      <c r="X48" s="166"/>
    </row>
    <row r="49" spans="1:24" ht="15" customHeight="1" x14ac:dyDescent="0.6">
      <c r="A49" s="360"/>
      <c r="B49" s="329">
        <v>7</v>
      </c>
      <c r="C49" s="373" t="s">
        <v>350</v>
      </c>
      <c r="D49" s="348"/>
      <c r="E49" s="348"/>
      <c r="F49" s="348"/>
      <c r="G49" s="348"/>
      <c r="H49" s="348"/>
      <c r="I49" s="348"/>
      <c r="J49" s="348"/>
      <c r="K49" s="348"/>
      <c r="L49" s="349"/>
      <c r="M49" s="145"/>
      <c r="O49" s="166"/>
      <c r="P49" s="166"/>
      <c r="Q49" s="166"/>
      <c r="R49" s="166"/>
      <c r="S49" s="166"/>
      <c r="T49" s="166"/>
      <c r="U49" s="166"/>
      <c r="V49" s="166"/>
      <c r="W49" s="166"/>
      <c r="X49" s="166"/>
    </row>
    <row r="50" spans="1:24" ht="15" customHeight="1" x14ac:dyDescent="0.6">
      <c r="A50" s="360"/>
      <c r="B50" s="330"/>
      <c r="C50" s="350"/>
      <c r="D50" s="351"/>
      <c r="E50" s="351"/>
      <c r="F50" s="351"/>
      <c r="G50" s="351"/>
      <c r="H50" s="351"/>
      <c r="I50" s="351"/>
      <c r="J50" s="351"/>
      <c r="K50" s="351"/>
      <c r="L50" s="352"/>
      <c r="M50" s="145"/>
      <c r="O50" s="166"/>
      <c r="P50" s="166"/>
      <c r="Q50" s="166"/>
      <c r="R50" s="166"/>
      <c r="S50" s="166"/>
      <c r="T50" s="166"/>
      <c r="U50" s="166"/>
      <c r="V50" s="166"/>
      <c r="W50" s="166"/>
      <c r="X50" s="166"/>
    </row>
    <row r="51" spans="1:24" ht="70.5" customHeight="1" x14ac:dyDescent="0.6">
      <c r="A51" s="360"/>
      <c r="B51" s="331"/>
      <c r="C51" s="353"/>
      <c r="D51" s="354"/>
      <c r="E51" s="354"/>
      <c r="F51" s="354"/>
      <c r="G51" s="354"/>
      <c r="H51" s="354"/>
      <c r="I51" s="354"/>
      <c r="J51" s="354"/>
      <c r="K51" s="354"/>
      <c r="L51" s="355"/>
      <c r="M51" s="145"/>
      <c r="O51" s="166"/>
      <c r="P51" s="166"/>
      <c r="Q51" s="166"/>
      <c r="R51" s="166"/>
      <c r="S51" s="166"/>
      <c r="T51" s="166"/>
      <c r="U51" s="166"/>
      <c r="V51" s="166"/>
      <c r="W51" s="166"/>
      <c r="X51" s="166"/>
    </row>
    <row r="52" spans="1:24" ht="15" customHeight="1" x14ac:dyDescent="0.6">
      <c r="A52" s="360"/>
      <c r="B52" s="381"/>
      <c r="C52" s="381"/>
      <c r="D52" s="381"/>
      <c r="E52" s="381"/>
      <c r="F52" s="381"/>
      <c r="G52" s="381"/>
      <c r="H52" s="381"/>
      <c r="I52" s="381"/>
      <c r="J52" s="381"/>
      <c r="K52" s="381"/>
      <c r="L52" s="381"/>
      <c r="M52" s="145"/>
      <c r="O52" s="166"/>
      <c r="P52" s="166"/>
      <c r="Q52" s="166"/>
      <c r="R52" s="166"/>
      <c r="S52" s="166"/>
      <c r="T52" s="166"/>
      <c r="U52" s="166"/>
      <c r="V52" s="166"/>
      <c r="W52" s="166"/>
      <c r="X52" s="166"/>
    </row>
    <row r="53" spans="1:24" ht="15" customHeight="1" x14ac:dyDescent="0.6">
      <c r="A53" s="360"/>
      <c r="B53" s="329">
        <v>7</v>
      </c>
      <c r="C53" s="347" t="s">
        <v>632</v>
      </c>
      <c r="D53" s="348"/>
      <c r="E53" s="348"/>
      <c r="F53" s="348"/>
      <c r="G53" s="348"/>
      <c r="H53" s="348"/>
      <c r="I53" s="348"/>
      <c r="J53" s="348"/>
      <c r="K53" s="348"/>
      <c r="L53" s="349"/>
      <c r="M53" s="145"/>
      <c r="O53" s="166"/>
      <c r="P53" s="166"/>
      <c r="Q53" s="166"/>
      <c r="R53" s="166"/>
      <c r="S53" s="166"/>
      <c r="T53" s="166"/>
      <c r="U53" s="166"/>
      <c r="V53" s="166"/>
      <c r="W53" s="166"/>
      <c r="X53" s="166"/>
    </row>
    <row r="54" spans="1:24" ht="7.5" customHeight="1" x14ac:dyDescent="0.6">
      <c r="A54" s="360"/>
      <c r="B54" s="330"/>
      <c r="C54" s="350"/>
      <c r="D54" s="351"/>
      <c r="E54" s="351"/>
      <c r="F54" s="351"/>
      <c r="G54" s="351"/>
      <c r="H54" s="351"/>
      <c r="I54" s="351"/>
      <c r="J54" s="351"/>
      <c r="K54" s="351"/>
      <c r="L54" s="352"/>
      <c r="M54" s="145"/>
      <c r="O54" s="166"/>
      <c r="P54" s="166"/>
      <c r="Q54" s="166"/>
      <c r="R54" s="166"/>
      <c r="S54" s="166"/>
      <c r="T54" s="166"/>
      <c r="U54" s="166"/>
      <c r="V54" s="166"/>
      <c r="W54" s="166"/>
      <c r="X54" s="166"/>
    </row>
    <row r="55" spans="1:24" ht="4.5" customHeight="1" x14ac:dyDescent="0.6">
      <c r="A55" s="360"/>
      <c r="B55" s="330"/>
      <c r="C55" s="350"/>
      <c r="D55" s="351"/>
      <c r="E55" s="351"/>
      <c r="F55" s="351"/>
      <c r="G55" s="351"/>
      <c r="H55" s="351"/>
      <c r="I55" s="351"/>
      <c r="J55" s="351"/>
      <c r="K55" s="351"/>
      <c r="L55" s="352"/>
      <c r="M55" s="145"/>
      <c r="O55" s="166"/>
      <c r="P55" s="166"/>
      <c r="Q55" s="166"/>
      <c r="R55" s="166"/>
      <c r="S55" s="166"/>
      <c r="T55" s="166"/>
      <c r="U55" s="166"/>
      <c r="V55" s="166"/>
      <c r="W55" s="166"/>
      <c r="X55" s="166"/>
    </row>
    <row r="56" spans="1:24" ht="6.75" customHeight="1" x14ac:dyDescent="0.6">
      <c r="A56" s="360"/>
      <c r="B56" s="330"/>
      <c r="C56" s="350"/>
      <c r="D56" s="351"/>
      <c r="E56" s="351"/>
      <c r="F56" s="351"/>
      <c r="G56" s="351"/>
      <c r="H56" s="351"/>
      <c r="I56" s="351"/>
      <c r="J56" s="351"/>
      <c r="K56" s="351"/>
      <c r="L56" s="352"/>
      <c r="M56" s="145"/>
      <c r="O56" s="166"/>
      <c r="P56" s="166"/>
      <c r="Q56" s="166"/>
      <c r="R56" s="166"/>
      <c r="S56" s="166"/>
      <c r="T56" s="166"/>
      <c r="U56" s="166"/>
      <c r="V56" s="166"/>
      <c r="W56" s="166"/>
      <c r="X56" s="166"/>
    </row>
    <row r="57" spans="1:24" ht="5.25" customHeight="1" thickBot="1" x14ac:dyDescent="0.75">
      <c r="A57" s="361"/>
      <c r="B57" s="374"/>
      <c r="C57" s="375"/>
      <c r="D57" s="376"/>
      <c r="E57" s="376"/>
      <c r="F57" s="376"/>
      <c r="G57" s="376"/>
      <c r="H57" s="376"/>
      <c r="I57" s="376"/>
      <c r="J57" s="376"/>
      <c r="K57" s="376"/>
      <c r="L57" s="377"/>
      <c r="M57" s="145"/>
      <c r="O57" s="166"/>
      <c r="P57" s="166"/>
      <c r="Q57" s="166"/>
      <c r="R57" s="166"/>
      <c r="S57" s="166"/>
      <c r="T57" s="166"/>
      <c r="U57" s="166"/>
      <c r="V57" s="166"/>
      <c r="W57" s="166"/>
      <c r="X57" s="166"/>
    </row>
    <row r="58" spans="1:24" ht="15" customHeight="1" thickTop="1" thickBot="1" x14ac:dyDescent="0.75">
      <c r="A58" s="146"/>
      <c r="B58" s="147"/>
      <c r="C58" s="147"/>
      <c r="D58" s="147"/>
      <c r="E58" s="147"/>
      <c r="F58" s="147"/>
      <c r="G58" s="147"/>
      <c r="H58" s="147"/>
      <c r="I58" s="147"/>
      <c r="J58" s="147"/>
      <c r="K58" s="147"/>
      <c r="L58" s="147"/>
      <c r="M58" s="148"/>
    </row>
    <row r="59" spans="1:24" ht="15" customHeight="1" thickTop="1" x14ac:dyDescent="0.6"/>
    <row r="60" spans="1:24" ht="15" customHeight="1" x14ac:dyDescent="0.6"/>
  </sheetData>
  <sheetProtection algorithmName="SHA-512" hashValue="tKWJFvsK4TopeALJ0diuzfmDtb+n7o9CC1OftmY3TQaCkdgJrsKXNf0lnUkdDsH9E6RPYqQ7xGaTxGeRftzrOQ==" saltValue="DYhl2SbhK8I7pFh4Hk9Ifg==" spinCount="100000" sheet="1" objects="1" scenarios="1"/>
  <mergeCells count="21">
    <mergeCell ref="A1:M1"/>
    <mergeCell ref="A2:A57"/>
    <mergeCell ref="B44:B47"/>
    <mergeCell ref="B49:B51"/>
    <mergeCell ref="C44:L47"/>
    <mergeCell ref="C49:L51"/>
    <mergeCell ref="B53:B57"/>
    <mergeCell ref="C53:L57"/>
    <mergeCell ref="B20:B25"/>
    <mergeCell ref="C20:L25"/>
    <mergeCell ref="B52:L52"/>
    <mergeCell ref="C34:L38"/>
    <mergeCell ref="B34:B38"/>
    <mergeCell ref="C27:L32"/>
    <mergeCell ref="B27:B32"/>
    <mergeCell ref="B40:B42"/>
    <mergeCell ref="B14:B18"/>
    <mergeCell ref="B4:L12"/>
    <mergeCell ref="C40:L42"/>
    <mergeCell ref="B2:L2"/>
    <mergeCell ref="C14:L18"/>
  </mergeCells>
  <phoneticPr fontId="2" type="noConversion"/>
  <printOptions horizontalCentered="1" verticalCentered="1"/>
  <pageMargins left="0.75" right="0.75" top="1" bottom="1" header="0" footer="0"/>
  <pageSetup scale="84" fitToHeight="2"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3EEBF4-D4F5-4BB9-AECE-EA2A174537E7}">
  <dimension ref="A1:V37"/>
  <sheetViews>
    <sheetView topLeftCell="A11" zoomScaleNormal="100" workbookViewId="0">
      <selection activeCell="L13" sqref="L13:L29"/>
    </sheetView>
  </sheetViews>
  <sheetFormatPr defaultColWidth="12.6796875" defaultRowHeight="13" x14ac:dyDescent="0.6"/>
  <cols>
    <col min="1" max="1" width="2.6796875" customWidth="1"/>
    <col min="3" max="3" width="15.6796875" customWidth="1"/>
    <col min="4" max="4" width="30.6796875" customWidth="1"/>
    <col min="5" max="5" width="14.76953125" customWidth="1"/>
    <col min="10" max="10" width="14.453125" customWidth="1"/>
    <col min="13" max="13" width="2.6796875" customWidth="1"/>
  </cols>
  <sheetData>
    <row r="1" spans="1:22" ht="14.5" thickTop="1" thickBot="1" x14ac:dyDescent="0.75">
      <c r="A1" s="742"/>
      <c r="B1" s="743"/>
      <c r="C1" s="743"/>
      <c r="D1" s="743"/>
      <c r="E1" s="743"/>
      <c r="F1" s="743"/>
      <c r="G1" s="743"/>
      <c r="H1" s="743"/>
      <c r="I1" s="743"/>
      <c r="J1" s="743"/>
      <c r="K1" s="743"/>
      <c r="L1" s="743"/>
      <c r="M1" s="744"/>
    </row>
    <row r="2" spans="1:22" ht="25.15" customHeight="1" thickTop="1" thickBot="1" x14ac:dyDescent="0.75">
      <c r="A2" s="387"/>
      <c r="B2" s="745" t="s">
        <v>719</v>
      </c>
      <c r="C2" s="746"/>
      <c r="D2" s="746"/>
      <c r="E2" s="747"/>
      <c r="F2" s="747"/>
      <c r="G2" s="747"/>
      <c r="H2" s="747"/>
      <c r="I2" s="747"/>
      <c r="J2" s="747"/>
      <c r="K2" s="747"/>
      <c r="L2" s="747"/>
      <c r="M2" s="761"/>
    </row>
    <row r="3" spans="1:22" ht="20.149999999999999" customHeight="1" thickTop="1" thickBot="1" x14ac:dyDescent="0.75">
      <c r="A3" s="387"/>
      <c r="B3" s="388"/>
      <c r="C3" s="388"/>
      <c r="D3" s="388"/>
      <c r="E3" s="388"/>
      <c r="F3" s="388"/>
      <c r="G3" s="388"/>
      <c r="H3" s="388"/>
      <c r="I3" s="388"/>
      <c r="J3" s="388"/>
      <c r="K3" s="388"/>
      <c r="L3" s="388"/>
      <c r="M3" s="761"/>
    </row>
    <row r="4" spans="1:22" ht="20.149999999999999" customHeight="1" thickTop="1" x14ac:dyDescent="0.7">
      <c r="A4" s="387"/>
      <c r="B4" s="448" t="s">
        <v>510</v>
      </c>
      <c r="C4" s="564"/>
      <c r="D4" s="564"/>
      <c r="E4" s="438"/>
      <c r="F4" s="752" t="str">
        <f>SUBSTITUTE(Summary!$D$5,,Summary!$D$5)</f>
        <v/>
      </c>
      <c r="G4" s="753"/>
      <c r="H4" s="753"/>
      <c r="I4" s="753"/>
      <c r="J4" s="753"/>
      <c r="K4" s="753"/>
      <c r="L4" s="753"/>
      <c r="M4" s="761"/>
      <c r="N4" s="3"/>
      <c r="O4" s="3"/>
      <c r="P4" s="3"/>
      <c r="Q4" s="3"/>
      <c r="R4" s="3"/>
      <c r="S4" s="3"/>
      <c r="T4" s="3"/>
      <c r="U4" s="3"/>
      <c r="V4" s="3"/>
    </row>
    <row r="5" spans="1:22" ht="20.149999999999999" customHeight="1" x14ac:dyDescent="0.7">
      <c r="A5" s="387"/>
      <c r="B5" s="449" t="s">
        <v>66</v>
      </c>
      <c r="C5" s="586"/>
      <c r="D5" s="586"/>
      <c r="E5" s="413"/>
      <c r="F5" s="767" t="str">
        <f>SUBSTITUTE(Summary!D7,,Summary!D7)</f>
        <v/>
      </c>
      <c r="G5" s="768"/>
      <c r="H5" s="768"/>
      <c r="I5" s="768"/>
      <c r="J5" s="768"/>
      <c r="K5" s="768"/>
      <c r="L5" s="768"/>
      <c r="M5" s="761"/>
      <c r="N5" s="3"/>
      <c r="O5" s="3"/>
      <c r="P5" s="3"/>
      <c r="Q5" s="3"/>
      <c r="R5" s="3"/>
      <c r="S5" s="3"/>
      <c r="T5" s="3"/>
      <c r="U5" s="3"/>
      <c r="V5" s="3"/>
    </row>
    <row r="6" spans="1:22" ht="20.149999999999999" customHeight="1" x14ac:dyDescent="0.7">
      <c r="A6" s="387"/>
      <c r="B6" s="449" t="s">
        <v>100</v>
      </c>
      <c r="C6" s="586"/>
      <c r="D6" s="586"/>
      <c r="E6" s="413"/>
      <c r="F6" s="767" t="str">
        <f>SUBSTITUTE(Summary!D8,,Summary!D8)</f>
        <v/>
      </c>
      <c r="G6" s="768"/>
      <c r="H6" s="768"/>
      <c r="I6" s="768"/>
      <c r="J6" s="768"/>
      <c r="K6" s="768"/>
      <c r="L6" s="768"/>
      <c r="M6" s="761"/>
      <c r="N6" s="3"/>
      <c r="O6" s="3"/>
      <c r="P6" s="3"/>
      <c r="Q6" s="3"/>
      <c r="R6" s="3"/>
      <c r="S6" s="3"/>
      <c r="T6" s="3"/>
      <c r="U6" s="3"/>
      <c r="V6" s="3"/>
    </row>
    <row r="7" spans="1:22" ht="20.149999999999999" customHeight="1" thickBot="1" x14ac:dyDescent="0.85">
      <c r="A7" s="387"/>
      <c r="B7" s="764" t="s">
        <v>299</v>
      </c>
      <c r="C7" s="765"/>
      <c r="D7" s="765"/>
      <c r="E7" s="766"/>
      <c r="F7" s="770" t="str">
        <f>SUBSTITUTE(Summary!D9,,Summary!D9)</f>
        <v/>
      </c>
      <c r="G7" s="765"/>
      <c r="H7" s="765"/>
      <c r="I7" s="765"/>
      <c r="J7" s="765"/>
      <c r="K7" s="765"/>
      <c r="L7" s="765"/>
      <c r="M7" s="761"/>
      <c r="N7" s="3"/>
      <c r="O7" s="3"/>
      <c r="P7" s="3"/>
      <c r="Q7" s="3"/>
      <c r="R7" s="3"/>
      <c r="S7" s="3"/>
      <c r="T7" s="3"/>
      <c r="U7" s="3"/>
      <c r="V7" s="3"/>
    </row>
    <row r="8" spans="1:22" ht="20.149999999999999" customHeight="1" thickTop="1" x14ac:dyDescent="0.6">
      <c r="A8" s="387"/>
      <c r="B8" s="20"/>
      <c r="C8" s="16"/>
      <c r="D8" s="16"/>
      <c r="E8" s="16"/>
      <c r="F8" s="16"/>
      <c r="G8" s="16"/>
      <c r="H8" s="16"/>
      <c r="I8" s="16"/>
      <c r="J8" s="16"/>
      <c r="K8" s="16"/>
      <c r="L8" s="16"/>
      <c r="M8" s="761"/>
      <c r="N8" s="3"/>
      <c r="O8" s="3"/>
      <c r="P8" s="3"/>
      <c r="Q8" s="3"/>
      <c r="R8" s="3"/>
      <c r="S8" s="3"/>
      <c r="T8" s="3"/>
      <c r="U8" s="3"/>
      <c r="V8" s="3"/>
    </row>
    <row r="9" spans="1:22" ht="16.149999999999999" customHeight="1" thickBot="1" x14ac:dyDescent="0.75">
      <c r="A9" s="387"/>
      <c r="B9" s="52"/>
      <c r="C9" s="16"/>
      <c r="D9" s="16"/>
      <c r="E9" s="16"/>
      <c r="F9" s="16"/>
      <c r="G9" s="16"/>
      <c r="H9" s="16"/>
      <c r="I9" s="16"/>
      <c r="J9" s="16"/>
      <c r="K9" s="52"/>
      <c r="L9" s="52"/>
      <c r="M9" s="761"/>
      <c r="N9" s="3"/>
      <c r="O9" s="3"/>
      <c r="P9" s="3"/>
      <c r="Q9" s="3"/>
      <c r="R9" s="3"/>
      <c r="S9" s="3"/>
      <c r="T9" s="3"/>
      <c r="U9" s="3"/>
      <c r="V9" s="3"/>
    </row>
    <row r="10" spans="1:22" s="3" customFormat="1" ht="16.25" thickTop="1" x14ac:dyDescent="0.6">
      <c r="A10" s="387"/>
      <c r="B10" s="489" t="s">
        <v>10</v>
      </c>
      <c r="C10" s="452" t="s">
        <v>271</v>
      </c>
      <c r="D10" s="454"/>
      <c r="E10" s="103" t="s">
        <v>723</v>
      </c>
      <c r="F10" s="103" t="s">
        <v>724</v>
      </c>
      <c r="G10" s="103" t="s">
        <v>725</v>
      </c>
      <c r="H10" s="103"/>
      <c r="I10" s="103"/>
      <c r="J10" s="490" t="s">
        <v>726</v>
      </c>
      <c r="K10" s="490" t="s">
        <v>727</v>
      </c>
      <c r="L10" s="490" t="s">
        <v>728</v>
      </c>
      <c r="M10" s="761"/>
    </row>
    <row r="11" spans="1:22" s="3" customFormat="1" ht="31" x14ac:dyDescent="0.6">
      <c r="A11" s="387"/>
      <c r="B11" s="776"/>
      <c r="C11" s="455"/>
      <c r="D11" s="457"/>
      <c r="E11" s="126" t="s">
        <v>213</v>
      </c>
      <c r="F11" s="126" t="s">
        <v>213</v>
      </c>
      <c r="G11" s="126" t="s">
        <v>213</v>
      </c>
      <c r="H11" s="126"/>
      <c r="I11" s="126"/>
      <c r="J11" s="852"/>
      <c r="K11" s="852"/>
      <c r="L11" s="852"/>
      <c r="M11" s="761"/>
    </row>
    <row r="12" spans="1:22" ht="20.149999999999999" customHeight="1" x14ac:dyDescent="0.6">
      <c r="A12" s="387"/>
      <c r="B12" s="281" t="s">
        <v>572</v>
      </c>
      <c r="C12" s="796" t="s">
        <v>573</v>
      </c>
      <c r="D12" s="797"/>
      <c r="E12" s="270" t="s">
        <v>574</v>
      </c>
      <c r="F12" s="270" t="s">
        <v>574</v>
      </c>
      <c r="G12" s="270" t="s">
        <v>574</v>
      </c>
      <c r="H12" s="270"/>
      <c r="I12" s="270"/>
      <c r="J12" s="96"/>
      <c r="K12" s="96"/>
      <c r="L12" s="96"/>
      <c r="M12" s="761"/>
      <c r="N12" s="3"/>
      <c r="O12" s="3"/>
      <c r="P12" s="3"/>
      <c r="Q12" s="3"/>
      <c r="R12" s="3"/>
      <c r="S12" s="3"/>
      <c r="T12" s="3"/>
      <c r="U12" s="3"/>
      <c r="V12" s="3"/>
    </row>
    <row r="13" spans="1:22" ht="20.149999999999999" customHeight="1" x14ac:dyDescent="0.6">
      <c r="A13" s="387"/>
      <c r="B13" s="204"/>
      <c r="C13" s="545"/>
      <c r="D13" s="547"/>
      <c r="E13" s="205"/>
      <c r="F13" s="205"/>
      <c r="G13" s="205"/>
      <c r="H13" s="205"/>
      <c r="I13" s="206"/>
      <c r="J13" s="96">
        <f>IF(E13="Yes",'Point Schedule'!$C$107,0)</f>
        <v>0</v>
      </c>
      <c r="K13" s="96">
        <f>IF(F13="Yes",'Point Schedule'!$D$107,0)</f>
        <v>0</v>
      </c>
      <c r="L13" s="96">
        <f>IF(G13="Yes",'Point Schedule'!$E$107,0)</f>
        <v>0</v>
      </c>
      <c r="M13" s="761"/>
      <c r="N13" s="3"/>
      <c r="O13" s="3"/>
      <c r="P13" s="3"/>
      <c r="Q13" s="3"/>
      <c r="R13" s="3"/>
      <c r="S13" s="3"/>
      <c r="T13" s="3"/>
      <c r="U13" s="3"/>
      <c r="V13" s="3"/>
    </row>
    <row r="14" spans="1:22" ht="20.149999999999999" customHeight="1" x14ac:dyDescent="0.6">
      <c r="A14" s="387"/>
      <c r="B14" s="204"/>
      <c r="C14" s="206"/>
      <c r="D14" s="217"/>
      <c r="E14" s="205"/>
      <c r="F14" s="205"/>
      <c r="G14" s="205"/>
      <c r="H14" s="205"/>
      <c r="I14" s="206"/>
      <c r="J14" s="96">
        <f>IF(E14="Yes",'Point Schedule'!$C$107,0)</f>
        <v>0</v>
      </c>
      <c r="K14" s="96">
        <f>IF(F14="Yes",'Point Schedule'!$D$107,0)</f>
        <v>0</v>
      </c>
      <c r="L14" s="96">
        <f>IF(G14="Yes",'Point Schedule'!$E$107,0)</f>
        <v>0</v>
      </c>
      <c r="M14" s="761"/>
      <c r="N14" s="3"/>
      <c r="O14" s="3"/>
      <c r="P14" s="3"/>
      <c r="Q14" s="3"/>
      <c r="R14" s="3"/>
      <c r="S14" s="3"/>
      <c r="T14" s="3"/>
      <c r="U14" s="3"/>
      <c r="V14" s="3"/>
    </row>
    <row r="15" spans="1:22" ht="20.149999999999999" customHeight="1" x14ac:dyDescent="0.6">
      <c r="A15" s="387"/>
      <c r="B15" s="204"/>
      <c r="C15" s="206"/>
      <c r="D15" s="217"/>
      <c r="E15" s="205"/>
      <c r="F15" s="205"/>
      <c r="G15" s="205"/>
      <c r="H15" s="205"/>
      <c r="I15" s="206"/>
      <c r="J15" s="96">
        <f>IF(E15="Yes",'Point Schedule'!$C$107,0)</f>
        <v>0</v>
      </c>
      <c r="K15" s="96">
        <f>IF(F15="Yes",'Point Schedule'!$D$107,0)</f>
        <v>0</v>
      </c>
      <c r="L15" s="96">
        <f>IF(G15="Yes",'Point Schedule'!$E$107,0)</f>
        <v>0</v>
      </c>
      <c r="M15" s="761"/>
      <c r="N15" s="3"/>
      <c r="O15" s="3"/>
      <c r="P15" s="3"/>
      <c r="Q15" s="3"/>
      <c r="R15" s="3"/>
      <c r="S15" s="3"/>
      <c r="T15" s="3"/>
      <c r="U15" s="3"/>
      <c r="V15" s="3"/>
    </row>
    <row r="16" spans="1:22" ht="20.149999999999999" customHeight="1" x14ac:dyDescent="0.6">
      <c r="A16" s="387"/>
      <c r="B16" s="204"/>
      <c r="C16" s="206"/>
      <c r="D16" s="217"/>
      <c r="E16" s="205"/>
      <c r="F16" s="205"/>
      <c r="G16" s="205"/>
      <c r="H16" s="205"/>
      <c r="I16" s="206"/>
      <c r="J16" s="96">
        <f>IF(E16="Yes",'Point Schedule'!$C$107,0)</f>
        <v>0</v>
      </c>
      <c r="K16" s="96">
        <f>IF(F16="Yes",'Point Schedule'!$D$107,0)</f>
        <v>0</v>
      </c>
      <c r="L16" s="96">
        <f>IF(G16="Yes",'Point Schedule'!$E$107,0)</f>
        <v>0</v>
      </c>
      <c r="M16" s="761"/>
      <c r="N16" s="3"/>
      <c r="O16" s="3"/>
      <c r="P16" s="3"/>
      <c r="Q16" s="3"/>
      <c r="R16" s="3"/>
      <c r="S16" s="3"/>
      <c r="T16" s="3"/>
      <c r="U16" s="3"/>
      <c r="V16" s="3"/>
    </row>
    <row r="17" spans="1:22" ht="20.149999999999999" customHeight="1" x14ac:dyDescent="0.6">
      <c r="A17" s="387"/>
      <c r="B17" s="204"/>
      <c r="C17" s="206"/>
      <c r="D17" s="217"/>
      <c r="E17" s="205"/>
      <c r="F17" s="205"/>
      <c r="G17" s="205"/>
      <c r="H17" s="205"/>
      <c r="I17" s="206"/>
      <c r="J17" s="96">
        <f>IF(E17="Yes",'Point Schedule'!$C$107,0)</f>
        <v>0</v>
      </c>
      <c r="K17" s="96">
        <f>IF(F17="Yes",'Point Schedule'!$D$107,0)</f>
        <v>0</v>
      </c>
      <c r="L17" s="96">
        <f>IF(G17="Yes",'Point Schedule'!$E$107,0)</f>
        <v>0</v>
      </c>
      <c r="M17" s="761"/>
      <c r="N17" s="3"/>
      <c r="O17" s="3"/>
      <c r="P17" s="3"/>
      <c r="Q17" s="3"/>
      <c r="R17" s="3"/>
      <c r="S17" s="3"/>
      <c r="T17" s="3"/>
      <c r="U17" s="3"/>
      <c r="V17" s="3"/>
    </row>
    <row r="18" spans="1:22" ht="20.149999999999999" customHeight="1" x14ac:dyDescent="0.6">
      <c r="A18" s="387"/>
      <c r="B18" s="204"/>
      <c r="C18" s="206"/>
      <c r="D18" s="217"/>
      <c r="E18" s="205"/>
      <c r="F18" s="205"/>
      <c r="G18" s="205"/>
      <c r="H18" s="205"/>
      <c r="I18" s="206"/>
      <c r="J18" s="96">
        <f>IF(E18="Yes",'Point Schedule'!$C$107,0)</f>
        <v>0</v>
      </c>
      <c r="K18" s="96">
        <f>IF(F18="Yes",'Point Schedule'!$D$107,0)</f>
        <v>0</v>
      </c>
      <c r="L18" s="96">
        <f>IF(G18="Yes",'Point Schedule'!$E$107,0)</f>
        <v>0</v>
      </c>
      <c r="M18" s="761"/>
      <c r="N18" s="3"/>
      <c r="O18" s="3"/>
      <c r="P18" s="3"/>
      <c r="Q18" s="3"/>
      <c r="R18" s="3"/>
      <c r="S18" s="3"/>
      <c r="T18" s="3"/>
      <c r="U18" s="3"/>
      <c r="V18" s="3"/>
    </row>
    <row r="19" spans="1:22" ht="20.149999999999999" customHeight="1" x14ac:dyDescent="0.6">
      <c r="A19" s="387"/>
      <c r="B19" s="204"/>
      <c r="C19" s="206"/>
      <c r="D19" s="217"/>
      <c r="E19" s="205"/>
      <c r="F19" s="205"/>
      <c r="G19" s="205"/>
      <c r="H19" s="205"/>
      <c r="I19" s="206"/>
      <c r="J19" s="96">
        <f>IF(E19="Yes",'Point Schedule'!$C$107,0)</f>
        <v>0</v>
      </c>
      <c r="K19" s="96">
        <f>IF(F19="Yes",'Point Schedule'!$D$107,0)</f>
        <v>0</v>
      </c>
      <c r="L19" s="96">
        <f>IF(G19="Yes",'Point Schedule'!$E$107,0)</f>
        <v>0</v>
      </c>
      <c r="M19" s="761"/>
      <c r="N19" s="3"/>
      <c r="O19" s="3"/>
      <c r="P19" s="3"/>
      <c r="Q19" s="3"/>
      <c r="R19" s="3"/>
      <c r="S19" s="3"/>
      <c r="T19" s="3"/>
      <c r="U19" s="3"/>
      <c r="V19" s="3"/>
    </row>
    <row r="20" spans="1:22" ht="20.149999999999999" customHeight="1" x14ac:dyDescent="0.6">
      <c r="A20" s="387"/>
      <c r="B20" s="204"/>
      <c r="C20" s="206"/>
      <c r="D20" s="217"/>
      <c r="E20" s="205"/>
      <c r="F20" s="205"/>
      <c r="G20" s="205"/>
      <c r="H20" s="205"/>
      <c r="I20" s="206"/>
      <c r="J20" s="96">
        <f>IF(E20="Yes",'Point Schedule'!$C$107,0)</f>
        <v>0</v>
      </c>
      <c r="K20" s="96">
        <f>IF(F20="Yes",'Point Schedule'!$D$107,0)</f>
        <v>0</v>
      </c>
      <c r="L20" s="96">
        <f>IF(G20="Yes",'Point Schedule'!$E$107,0)</f>
        <v>0</v>
      </c>
      <c r="M20" s="761"/>
      <c r="N20" s="3"/>
      <c r="O20" s="3"/>
      <c r="P20" s="3"/>
      <c r="Q20" s="3"/>
      <c r="R20" s="3"/>
      <c r="S20" s="3"/>
      <c r="T20" s="3"/>
      <c r="U20" s="3"/>
      <c r="V20" s="3"/>
    </row>
    <row r="21" spans="1:22" ht="20.149999999999999" customHeight="1" x14ac:dyDescent="0.6">
      <c r="A21" s="387"/>
      <c r="B21" s="204"/>
      <c r="C21" s="206"/>
      <c r="D21" s="217"/>
      <c r="E21" s="205"/>
      <c r="F21" s="205"/>
      <c r="G21" s="205"/>
      <c r="H21" s="205"/>
      <c r="I21" s="206"/>
      <c r="J21" s="96">
        <f>IF(E21="Yes",'Point Schedule'!$C$107,0)</f>
        <v>0</v>
      </c>
      <c r="K21" s="96">
        <f>IF(F21="Yes",'Point Schedule'!$D$107,0)</f>
        <v>0</v>
      </c>
      <c r="L21" s="96">
        <f>IF(G21="Yes",'Point Schedule'!$E$107,0)</f>
        <v>0</v>
      </c>
      <c r="M21" s="761"/>
      <c r="N21" s="3"/>
      <c r="O21" s="3"/>
      <c r="P21" s="3"/>
      <c r="Q21" s="3"/>
      <c r="R21" s="3"/>
      <c r="S21" s="3"/>
      <c r="T21" s="3"/>
      <c r="U21" s="3"/>
      <c r="V21" s="3"/>
    </row>
    <row r="22" spans="1:22" ht="20.149999999999999" customHeight="1" x14ac:dyDescent="0.6">
      <c r="A22" s="387"/>
      <c r="B22" s="204"/>
      <c r="C22" s="206"/>
      <c r="D22" s="217"/>
      <c r="E22" s="205"/>
      <c r="F22" s="205"/>
      <c r="G22" s="205"/>
      <c r="H22" s="205"/>
      <c r="I22" s="206"/>
      <c r="J22" s="96">
        <f>IF(E22="Yes",'Point Schedule'!$C$107,0)</f>
        <v>0</v>
      </c>
      <c r="K22" s="96">
        <f>IF(F22="Yes",'Point Schedule'!$D$107,0)</f>
        <v>0</v>
      </c>
      <c r="L22" s="96">
        <f>IF(G22="Yes",'Point Schedule'!$E$107,0)</f>
        <v>0</v>
      </c>
      <c r="M22" s="761"/>
      <c r="N22" s="3"/>
      <c r="O22" s="3"/>
      <c r="P22" s="3"/>
      <c r="Q22" s="3"/>
      <c r="R22" s="3"/>
      <c r="S22" s="3"/>
      <c r="T22" s="3"/>
      <c r="U22" s="3"/>
      <c r="V22" s="3"/>
    </row>
    <row r="23" spans="1:22" ht="20.149999999999999" customHeight="1" x14ac:dyDescent="0.6">
      <c r="A23" s="387"/>
      <c r="B23" s="204"/>
      <c r="C23" s="206"/>
      <c r="D23" s="217"/>
      <c r="E23" s="205"/>
      <c r="F23" s="205"/>
      <c r="G23" s="205"/>
      <c r="H23" s="205"/>
      <c r="I23" s="206"/>
      <c r="J23" s="96">
        <f>IF(E23="Yes",'Point Schedule'!$C$107,0)</f>
        <v>0</v>
      </c>
      <c r="K23" s="96">
        <f>IF(F23="Yes",'Point Schedule'!$D$107,0)</f>
        <v>0</v>
      </c>
      <c r="L23" s="96">
        <f>IF(G23="Yes",'Point Schedule'!$E$107,0)</f>
        <v>0</v>
      </c>
      <c r="M23" s="761"/>
      <c r="N23" s="3"/>
      <c r="O23" s="3"/>
      <c r="P23" s="3"/>
      <c r="Q23" s="3"/>
      <c r="R23" s="3"/>
      <c r="S23" s="3"/>
      <c r="T23" s="3"/>
      <c r="U23" s="3"/>
      <c r="V23" s="3"/>
    </row>
    <row r="24" spans="1:22" ht="20.149999999999999" customHeight="1" x14ac:dyDescent="0.6">
      <c r="A24" s="387"/>
      <c r="B24" s="204"/>
      <c r="C24" s="206"/>
      <c r="D24" s="217"/>
      <c r="E24" s="205"/>
      <c r="F24" s="205"/>
      <c r="G24" s="205"/>
      <c r="H24" s="205"/>
      <c r="I24" s="206"/>
      <c r="J24" s="96">
        <f>IF(E24="Yes",'Point Schedule'!$C$107,0)</f>
        <v>0</v>
      </c>
      <c r="K24" s="96">
        <f>IF(F24="Yes",'Point Schedule'!$D$107,0)</f>
        <v>0</v>
      </c>
      <c r="L24" s="96">
        <f>IF(G24="Yes",'Point Schedule'!$E$107,0)</f>
        <v>0</v>
      </c>
      <c r="M24" s="761"/>
      <c r="N24" s="3"/>
      <c r="O24" s="3"/>
      <c r="P24" s="3"/>
      <c r="Q24" s="3"/>
      <c r="R24" s="3"/>
      <c r="S24" s="3"/>
      <c r="T24" s="3"/>
      <c r="U24" s="3"/>
      <c r="V24" s="3"/>
    </row>
    <row r="25" spans="1:22" ht="20.149999999999999" customHeight="1" x14ac:dyDescent="0.6">
      <c r="A25" s="387"/>
      <c r="B25" s="204"/>
      <c r="C25" s="206"/>
      <c r="D25" s="217"/>
      <c r="E25" s="205"/>
      <c r="F25" s="205"/>
      <c r="G25" s="205"/>
      <c r="H25" s="205"/>
      <c r="I25" s="206"/>
      <c r="J25" s="96">
        <f>IF(E25="Yes",'Point Schedule'!$C$107,0)</f>
        <v>0</v>
      </c>
      <c r="K25" s="96">
        <f>IF(F25="Yes",'Point Schedule'!$D$107,0)</f>
        <v>0</v>
      </c>
      <c r="L25" s="96">
        <f>IF(G25="Yes",'Point Schedule'!$E$107,0)</f>
        <v>0</v>
      </c>
      <c r="M25" s="761"/>
      <c r="N25" s="3"/>
      <c r="O25" s="3"/>
      <c r="P25" s="3"/>
      <c r="Q25" s="3"/>
      <c r="R25" s="3"/>
      <c r="S25" s="3"/>
      <c r="T25" s="3"/>
      <c r="U25" s="3"/>
      <c r="V25" s="3"/>
    </row>
    <row r="26" spans="1:22" ht="20.149999999999999" customHeight="1" x14ac:dyDescent="0.6">
      <c r="A26" s="387"/>
      <c r="B26" s="204"/>
      <c r="C26" s="545"/>
      <c r="D26" s="547"/>
      <c r="E26" s="205"/>
      <c r="F26" s="205"/>
      <c r="G26" s="205"/>
      <c r="H26" s="205"/>
      <c r="I26" s="206"/>
      <c r="J26" s="96">
        <f>IF(E26="Yes",'Point Schedule'!$C$107,0)</f>
        <v>0</v>
      </c>
      <c r="K26" s="96">
        <f>IF(F26="Yes",'Point Schedule'!$D$107,0)</f>
        <v>0</v>
      </c>
      <c r="L26" s="96">
        <f>IF(G26="Yes",'Point Schedule'!$E$107,0)</f>
        <v>0</v>
      </c>
      <c r="M26" s="761"/>
      <c r="N26" s="3"/>
      <c r="O26" s="3"/>
      <c r="P26" s="3"/>
      <c r="Q26" s="3"/>
      <c r="R26" s="3"/>
      <c r="S26" s="3"/>
      <c r="T26" s="3"/>
      <c r="U26" s="3"/>
      <c r="V26" s="3"/>
    </row>
    <row r="27" spans="1:22" ht="20.149999999999999" customHeight="1" x14ac:dyDescent="0.6">
      <c r="A27" s="387"/>
      <c r="B27" s="204"/>
      <c r="C27" s="545"/>
      <c r="D27" s="547"/>
      <c r="E27" s="205"/>
      <c r="F27" s="205"/>
      <c r="G27" s="205"/>
      <c r="H27" s="205"/>
      <c r="I27" s="206"/>
      <c r="J27" s="96">
        <f>IF(E27="Yes",'Point Schedule'!$C$107,0)</f>
        <v>0</v>
      </c>
      <c r="K27" s="96">
        <f>IF(F27="Yes",'Point Schedule'!$D$107,0)</f>
        <v>0</v>
      </c>
      <c r="L27" s="96">
        <f>IF(G27="Yes",'Point Schedule'!$E$107,0)</f>
        <v>0</v>
      </c>
      <c r="M27" s="761"/>
      <c r="N27" s="3"/>
      <c r="O27" s="3"/>
      <c r="P27" s="3"/>
      <c r="Q27" s="3"/>
      <c r="R27" s="3"/>
      <c r="S27" s="3"/>
      <c r="T27" s="3"/>
      <c r="U27" s="3"/>
      <c r="V27" s="3"/>
    </row>
    <row r="28" spans="1:22" ht="20.149999999999999" customHeight="1" x14ac:dyDescent="0.6">
      <c r="A28" s="387"/>
      <c r="B28" s="204"/>
      <c r="C28" s="545"/>
      <c r="D28" s="547"/>
      <c r="E28" s="205"/>
      <c r="F28" s="205"/>
      <c r="G28" s="205"/>
      <c r="H28" s="205"/>
      <c r="I28" s="206"/>
      <c r="J28" s="96">
        <f>IF(E28="Yes",'Point Schedule'!$C$107,0)</f>
        <v>0</v>
      </c>
      <c r="K28" s="96">
        <f>IF(F28="Yes",'Point Schedule'!$D$107,0)</f>
        <v>0</v>
      </c>
      <c r="L28" s="96">
        <f>IF(G28="Yes",'Point Schedule'!$E$107,0)</f>
        <v>0</v>
      </c>
      <c r="M28" s="761"/>
      <c r="N28" s="3"/>
      <c r="O28" s="3"/>
      <c r="P28" s="3"/>
      <c r="Q28" s="3"/>
      <c r="R28" s="3"/>
      <c r="S28" s="3"/>
      <c r="T28" s="3"/>
      <c r="U28" s="3"/>
      <c r="V28" s="3"/>
    </row>
    <row r="29" spans="1:22" ht="20.149999999999999" customHeight="1" thickBot="1" x14ac:dyDescent="0.75">
      <c r="A29" s="387"/>
      <c r="B29" s="212"/>
      <c r="C29" s="850"/>
      <c r="D29" s="851"/>
      <c r="E29" s="209"/>
      <c r="F29" s="209"/>
      <c r="G29" s="209"/>
      <c r="H29" s="209"/>
      <c r="I29" s="213"/>
      <c r="J29" s="96">
        <f>IF(E29="Yes",'Point Schedule'!$C$107,0)</f>
        <v>0</v>
      </c>
      <c r="K29" s="96">
        <f>IF(F29="Yes",'Point Schedule'!$D$107,0)</f>
        <v>0</v>
      </c>
      <c r="L29" s="96">
        <f>IF(G29="Yes",'Point Schedule'!$E$107,0)</f>
        <v>0</v>
      </c>
      <c r="M29" s="761"/>
      <c r="N29" s="3"/>
      <c r="O29" s="3"/>
      <c r="P29" s="3"/>
      <c r="Q29" s="3"/>
      <c r="R29" s="3"/>
      <c r="S29" s="3"/>
      <c r="T29" s="3"/>
      <c r="U29" s="3"/>
      <c r="V29" s="3"/>
    </row>
    <row r="30" spans="1:22" ht="30" customHeight="1" thickTop="1" thickBot="1" x14ac:dyDescent="0.75">
      <c r="A30" s="387"/>
      <c r="B30" s="127" t="s">
        <v>722</v>
      </c>
      <c r="C30" s="111">
        <f>SUM(J12:L29)</f>
        <v>0</v>
      </c>
      <c r="D30" s="94"/>
      <c r="E30" s="94"/>
      <c r="F30" s="94"/>
      <c r="G30" s="94"/>
      <c r="H30" s="94"/>
      <c r="I30" s="94"/>
      <c r="J30" s="94"/>
      <c r="K30" s="94"/>
      <c r="L30" s="94"/>
      <c r="M30" s="761"/>
      <c r="N30" s="3"/>
      <c r="O30" s="3"/>
      <c r="P30" s="3"/>
      <c r="Q30" s="3"/>
      <c r="R30" s="3"/>
      <c r="S30" s="3"/>
      <c r="T30" s="3"/>
      <c r="U30" s="3"/>
      <c r="V30" s="3"/>
    </row>
    <row r="31" spans="1:22" ht="14.5" thickTop="1" thickBot="1" x14ac:dyDescent="0.75">
      <c r="A31" s="551"/>
      <c r="B31" s="759"/>
      <c r="C31" s="759"/>
      <c r="D31" s="759"/>
      <c r="E31" s="759"/>
      <c r="F31" s="759"/>
      <c r="G31" s="759"/>
      <c r="H31" s="759"/>
      <c r="I31" s="759"/>
      <c r="J31" s="759"/>
      <c r="K31" s="759"/>
      <c r="L31" s="759"/>
      <c r="M31" s="760"/>
    </row>
    <row r="32" spans="1:22" ht="13.75" thickTop="1" x14ac:dyDescent="0.6"/>
    <row r="33" spans="5:12" x14ac:dyDescent="0.6">
      <c r="L33" s="1"/>
    </row>
    <row r="34" spans="5:12" x14ac:dyDescent="0.6">
      <c r="E34" s="1"/>
    </row>
    <row r="37" spans="5:12" ht="13.5" customHeight="1" x14ac:dyDescent="0.6"/>
  </sheetData>
  <sheetProtection algorithmName="SHA-512" hashValue="3cHEGl7LcJpaN9d48wf3RkV2zrigQTWMBgBc1bw8+JxSJjYhqZ3A1XS5aLruefkLPHCeNU8YarOTEL0/eEf7DA==" saltValue="aZWWSSlxqTjaNpmlWWFCgw==" spinCount="100000" sheet="1" objects="1" scenarios="1"/>
  <mergeCells count="25">
    <mergeCell ref="A1:M1"/>
    <mergeCell ref="A2:A30"/>
    <mergeCell ref="B2:L2"/>
    <mergeCell ref="M2:M30"/>
    <mergeCell ref="B3:L3"/>
    <mergeCell ref="B4:E4"/>
    <mergeCell ref="F4:L4"/>
    <mergeCell ref="B5:E5"/>
    <mergeCell ref="F5:L5"/>
    <mergeCell ref="B6:E6"/>
    <mergeCell ref="F6:L6"/>
    <mergeCell ref="B7:E7"/>
    <mergeCell ref="F7:L7"/>
    <mergeCell ref="B10:B11"/>
    <mergeCell ref="C10:D11"/>
    <mergeCell ref="J10:J11"/>
    <mergeCell ref="K10:K11"/>
    <mergeCell ref="L10:L11"/>
    <mergeCell ref="A31:M31"/>
    <mergeCell ref="C12:D12"/>
    <mergeCell ref="C13:D13"/>
    <mergeCell ref="C26:D26"/>
    <mergeCell ref="C27:D27"/>
    <mergeCell ref="C28:D28"/>
    <mergeCell ref="C29:D29"/>
  </mergeCells>
  <dataValidations count="1">
    <dataValidation type="list" allowBlank="1" showInputMessage="1" showErrorMessage="1" sqref="E13:I29" xr:uid="{FFAAEF85-7EE3-401E-A2E7-B0866F2562C4}">
      <formula1>YN</formula1>
    </dataValidation>
  </dataValidations>
  <pageMargins left="0.7" right="0.7" top="0.75" bottom="0.75" header="0.3" footer="0.3"/>
  <pageSetup scale="54"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DB387-5014-4A79-A17C-2DB0084F92F4}">
  <dimension ref="A1:V26"/>
  <sheetViews>
    <sheetView topLeftCell="A5" zoomScaleNormal="100" workbookViewId="0">
      <selection activeCell="D24" sqref="D24"/>
    </sheetView>
  </sheetViews>
  <sheetFormatPr defaultColWidth="12.6796875" defaultRowHeight="13" x14ac:dyDescent="0.6"/>
  <cols>
    <col min="1" max="1" width="2.6796875" customWidth="1"/>
    <col min="3" max="3" width="15.6796875" customWidth="1"/>
    <col min="4" max="4" width="30.6796875" customWidth="1"/>
    <col min="5" max="5" width="14.76953125" customWidth="1"/>
    <col min="9" max="9" width="14.453125" customWidth="1"/>
    <col min="13" max="13" width="2.6796875" customWidth="1"/>
  </cols>
  <sheetData>
    <row r="1" spans="1:22" ht="14.5" thickTop="1" thickBot="1" x14ac:dyDescent="0.75">
      <c r="A1" s="742"/>
      <c r="B1" s="743"/>
      <c r="C1" s="743"/>
      <c r="D1" s="743"/>
      <c r="E1" s="743"/>
      <c r="F1" s="743"/>
      <c r="G1" s="743"/>
      <c r="H1" s="743"/>
      <c r="I1" s="743"/>
      <c r="J1" s="743"/>
      <c r="K1" s="743"/>
      <c r="L1" s="743"/>
      <c r="M1" s="744"/>
    </row>
    <row r="2" spans="1:22" ht="25.15" customHeight="1" thickTop="1" thickBot="1" x14ac:dyDescent="0.75">
      <c r="A2" s="387"/>
      <c r="B2" s="745" t="s">
        <v>720</v>
      </c>
      <c r="C2" s="746"/>
      <c r="D2" s="746"/>
      <c r="E2" s="747"/>
      <c r="F2" s="747"/>
      <c r="G2" s="747"/>
      <c r="H2" s="747"/>
      <c r="I2" s="747"/>
      <c r="J2" s="747"/>
      <c r="K2" s="747"/>
      <c r="L2" s="747"/>
      <c r="M2" s="761"/>
    </row>
    <row r="3" spans="1:22" ht="20.149999999999999" customHeight="1" thickTop="1" thickBot="1" x14ac:dyDescent="0.75">
      <c r="A3" s="387"/>
      <c r="B3" s="388"/>
      <c r="C3" s="388"/>
      <c r="D3" s="388"/>
      <c r="E3" s="388"/>
      <c r="F3" s="388"/>
      <c r="G3" s="388"/>
      <c r="H3" s="388"/>
      <c r="I3" s="388"/>
      <c r="J3" s="388"/>
      <c r="K3" s="388"/>
      <c r="L3" s="388"/>
      <c r="M3" s="761"/>
    </row>
    <row r="4" spans="1:22" ht="20.149999999999999" customHeight="1" thickTop="1" x14ac:dyDescent="0.7">
      <c r="A4" s="387"/>
      <c r="B4" s="448" t="s">
        <v>510</v>
      </c>
      <c r="C4" s="564"/>
      <c r="D4" s="564"/>
      <c r="E4" s="438"/>
      <c r="F4" s="752" t="str">
        <f>SUBSTITUTE(Summary!$D$5,,Summary!$D$5)</f>
        <v/>
      </c>
      <c r="G4" s="753"/>
      <c r="H4" s="753"/>
      <c r="I4" s="753"/>
      <c r="J4" s="753"/>
      <c r="K4" s="753"/>
      <c r="L4" s="753"/>
      <c r="M4" s="761"/>
      <c r="N4" s="3"/>
      <c r="O4" s="3"/>
      <c r="P4" s="3"/>
      <c r="Q4" s="3"/>
      <c r="R4" s="3"/>
      <c r="S4" s="3"/>
      <c r="T4" s="3"/>
      <c r="U4" s="3"/>
      <c r="V4" s="3"/>
    </row>
    <row r="5" spans="1:22" ht="20.149999999999999" customHeight="1" x14ac:dyDescent="0.7">
      <c r="A5" s="387"/>
      <c r="B5" s="449" t="s">
        <v>66</v>
      </c>
      <c r="C5" s="586"/>
      <c r="D5" s="586"/>
      <c r="E5" s="413"/>
      <c r="F5" s="767" t="str">
        <f>SUBSTITUTE(Summary!D7,,Summary!D7)</f>
        <v/>
      </c>
      <c r="G5" s="768"/>
      <c r="H5" s="768"/>
      <c r="I5" s="768"/>
      <c r="J5" s="768"/>
      <c r="K5" s="768"/>
      <c r="L5" s="768"/>
      <c r="M5" s="761"/>
      <c r="N5" s="3"/>
      <c r="O5" s="3"/>
      <c r="P5" s="3"/>
      <c r="Q5" s="3"/>
      <c r="R5" s="3"/>
      <c r="S5" s="3"/>
      <c r="T5" s="3"/>
      <c r="U5" s="3"/>
      <c r="V5" s="3"/>
    </row>
    <row r="6" spans="1:22" ht="20.149999999999999" customHeight="1" x14ac:dyDescent="0.7">
      <c r="A6" s="387"/>
      <c r="B6" s="449" t="s">
        <v>100</v>
      </c>
      <c r="C6" s="586"/>
      <c r="D6" s="586"/>
      <c r="E6" s="413"/>
      <c r="F6" s="767" t="str">
        <f>SUBSTITUTE(Summary!D8,,Summary!D8)</f>
        <v/>
      </c>
      <c r="G6" s="768"/>
      <c r="H6" s="768"/>
      <c r="I6" s="768"/>
      <c r="J6" s="768"/>
      <c r="K6" s="768"/>
      <c r="L6" s="768"/>
      <c r="M6" s="761"/>
      <c r="N6" s="3"/>
      <c r="O6" s="3"/>
      <c r="P6" s="3"/>
      <c r="Q6" s="3"/>
      <c r="R6" s="3"/>
      <c r="S6" s="3"/>
      <c r="T6" s="3"/>
      <c r="U6" s="3"/>
      <c r="V6" s="3"/>
    </row>
    <row r="7" spans="1:22" ht="20.149999999999999" customHeight="1" thickBot="1" x14ac:dyDescent="0.85">
      <c r="A7" s="387"/>
      <c r="B7" s="764" t="s">
        <v>299</v>
      </c>
      <c r="C7" s="765"/>
      <c r="D7" s="765"/>
      <c r="E7" s="766"/>
      <c r="F7" s="770" t="str">
        <f>SUBSTITUTE(Summary!D9,,Summary!D9)</f>
        <v/>
      </c>
      <c r="G7" s="765"/>
      <c r="H7" s="765"/>
      <c r="I7" s="765"/>
      <c r="J7" s="765"/>
      <c r="K7" s="765"/>
      <c r="L7" s="765"/>
      <c r="M7" s="761"/>
      <c r="N7" s="3"/>
      <c r="O7" s="3"/>
      <c r="P7" s="3"/>
      <c r="Q7" s="3"/>
      <c r="R7" s="3"/>
      <c r="S7" s="3"/>
      <c r="T7" s="3"/>
      <c r="U7" s="3"/>
      <c r="V7" s="3"/>
    </row>
    <row r="8" spans="1:22" ht="20.149999999999999" customHeight="1" thickTop="1" x14ac:dyDescent="0.6">
      <c r="A8" s="387"/>
      <c r="B8" s="20"/>
      <c r="C8" s="16"/>
      <c r="D8" s="16"/>
      <c r="E8" s="16"/>
      <c r="F8" s="16"/>
      <c r="G8" s="16"/>
      <c r="H8" s="16"/>
      <c r="I8" s="16"/>
      <c r="J8" s="16"/>
      <c r="K8" s="16"/>
      <c r="L8" s="16"/>
      <c r="M8" s="761"/>
      <c r="N8" s="3"/>
      <c r="O8" s="3"/>
      <c r="P8" s="3"/>
      <c r="Q8" s="3"/>
      <c r="R8" s="3"/>
      <c r="S8" s="3"/>
      <c r="T8" s="3"/>
      <c r="U8" s="3"/>
      <c r="V8" s="3"/>
    </row>
    <row r="9" spans="1:22" ht="16.149999999999999" customHeight="1" thickBot="1" x14ac:dyDescent="0.75">
      <c r="A9" s="387"/>
      <c r="B9" s="52"/>
      <c r="C9" s="16"/>
      <c r="D9" s="16"/>
      <c r="E9" s="16"/>
      <c r="F9" s="16"/>
      <c r="G9" s="16"/>
      <c r="H9" s="16"/>
      <c r="I9" s="16"/>
      <c r="J9" s="52"/>
      <c r="K9" s="52"/>
      <c r="L9" s="52"/>
      <c r="M9" s="761"/>
      <c r="N9" s="3"/>
      <c r="O9" s="3"/>
      <c r="P9" s="3"/>
      <c r="Q9" s="3"/>
      <c r="R9" s="3"/>
      <c r="S9" s="3"/>
      <c r="T9" s="3"/>
      <c r="U9" s="3"/>
      <c r="V9" s="3"/>
    </row>
    <row r="10" spans="1:22" s="3" customFormat="1" ht="16.25" thickTop="1" x14ac:dyDescent="0.6">
      <c r="A10" s="387"/>
      <c r="B10" s="489" t="s">
        <v>10</v>
      </c>
      <c r="C10" s="452" t="s">
        <v>271</v>
      </c>
      <c r="D10" s="454"/>
      <c r="E10" s="103" t="s">
        <v>731</v>
      </c>
      <c r="F10" s="103" t="s">
        <v>730</v>
      </c>
      <c r="G10" s="103" t="s">
        <v>732</v>
      </c>
      <c r="H10" s="103" t="s">
        <v>733</v>
      </c>
      <c r="I10" s="490" t="s">
        <v>734</v>
      </c>
      <c r="J10" s="490" t="s">
        <v>735</v>
      </c>
      <c r="K10" s="490" t="s">
        <v>736</v>
      </c>
      <c r="L10" s="490" t="s">
        <v>737</v>
      </c>
      <c r="M10" s="761"/>
    </row>
    <row r="11" spans="1:22" s="3" customFormat="1" ht="31" x14ac:dyDescent="0.6">
      <c r="A11" s="387"/>
      <c r="B11" s="776"/>
      <c r="C11" s="455"/>
      <c r="D11" s="457"/>
      <c r="E11" s="126" t="s">
        <v>213</v>
      </c>
      <c r="F11" s="126" t="s">
        <v>213</v>
      </c>
      <c r="G11" s="126" t="s">
        <v>213</v>
      </c>
      <c r="H11" s="126" t="s">
        <v>213</v>
      </c>
      <c r="I11" s="852"/>
      <c r="J11" s="852"/>
      <c r="K11" s="852"/>
      <c r="L11" s="852"/>
      <c r="M11" s="761"/>
    </row>
    <row r="12" spans="1:22" ht="20.149999999999999" customHeight="1" x14ac:dyDescent="0.6">
      <c r="A12" s="387"/>
      <c r="B12" s="281" t="s">
        <v>572</v>
      </c>
      <c r="C12" s="796" t="s">
        <v>573</v>
      </c>
      <c r="D12" s="797"/>
      <c r="E12" s="270" t="s">
        <v>574</v>
      </c>
      <c r="F12" s="270" t="s">
        <v>574</v>
      </c>
      <c r="G12" s="270" t="s">
        <v>574</v>
      </c>
      <c r="H12" s="270" t="s">
        <v>574</v>
      </c>
      <c r="I12" s="96"/>
      <c r="J12" s="96"/>
      <c r="K12" s="96"/>
      <c r="L12" s="96"/>
      <c r="M12" s="761"/>
      <c r="N12" s="3"/>
      <c r="O12" s="3"/>
      <c r="P12" s="3"/>
      <c r="Q12" s="3"/>
      <c r="R12" s="3"/>
      <c r="S12" s="3"/>
      <c r="T12" s="3"/>
      <c r="U12" s="3"/>
      <c r="V12" s="3"/>
    </row>
    <row r="13" spans="1:22" ht="20.149999999999999" customHeight="1" x14ac:dyDescent="0.6">
      <c r="A13" s="387"/>
      <c r="B13" s="204"/>
      <c r="C13" s="545"/>
      <c r="D13" s="547"/>
      <c r="E13" s="205"/>
      <c r="F13" s="205"/>
      <c r="G13" s="205"/>
      <c r="H13" s="205"/>
      <c r="I13" s="96">
        <f>IF(E13="Yes",'Point Schedule'!$B$99,0)</f>
        <v>0</v>
      </c>
      <c r="J13" s="96">
        <f>IF(F13="Yes",'Point Schedule'!$C$99,0)</f>
        <v>0</v>
      </c>
      <c r="K13" s="96">
        <f>IF(G13="Yes",'Point Schedule'!$D$99,0)</f>
        <v>0</v>
      </c>
      <c r="L13" s="96">
        <f>IF(H13="Yes",'Point Schedule'!$E$99,0)</f>
        <v>0</v>
      </c>
      <c r="M13" s="761"/>
      <c r="N13" s="3"/>
      <c r="O13" s="3"/>
      <c r="P13" s="3"/>
      <c r="Q13" s="3"/>
      <c r="R13" s="3"/>
      <c r="S13" s="3"/>
      <c r="T13" s="3"/>
      <c r="U13" s="3"/>
      <c r="V13" s="3"/>
    </row>
    <row r="14" spans="1:22" ht="20.149999999999999" customHeight="1" x14ac:dyDescent="0.6">
      <c r="A14" s="387"/>
      <c r="B14" s="204"/>
      <c r="C14" s="545"/>
      <c r="D14" s="547"/>
      <c r="E14" s="205"/>
      <c r="F14" s="205"/>
      <c r="G14" s="205"/>
      <c r="H14" s="205"/>
      <c r="I14" s="96">
        <f>IF(E14="Yes",'Point Schedule'!$B$99,0)</f>
        <v>0</v>
      </c>
      <c r="J14" s="96">
        <f>IF(F14="Yes",'Point Schedule'!$C$99,0)</f>
        <v>0</v>
      </c>
      <c r="K14" s="96">
        <f>IF(G14="Yes",'Point Schedule'!$D$99,0)</f>
        <v>0</v>
      </c>
      <c r="L14" s="96">
        <f>IF(H14="Yes",'Point Schedule'!$E$99,0)</f>
        <v>0</v>
      </c>
      <c r="M14" s="761"/>
      <c r="N14" s="3"/>
      <c r="O14" s="3"/>
      <c r="P14" s="3"/>
      <c r="Q14" s="3"/>
      <c r="R14" s="3"/>
      <c r="S14" s="3"/>
      <c r="T14" s="3"/>
      <c r="U14" s="3"/>
      <c r="V14" s="3"/>
    </row>
    <row r="15" spans="1:22" ht="20.149999999999999" customHeight="1" x14ac:dyDescent="0.6">
      <c r="A15" s="387"/>
      <c r="B15" s="204"/>
      <c r="C15" s="545"/>
      <c r="D15" s="547"/>
      <c r="E15" s="205"/>
      <c r="F15" s="205"/>
      <c r="G15" s="205"/>
      <c r="H15" s="205"/>
      <c r="I15" s="96">
        <f>IF(E15="Yes",'Point Schedule'!$B$99,0)</f>
        <v>0</v>
      </c>
      <c r="J15" s="96">
        <f>IF(F15="Yes",'Point Schedule'!$C$99,0)</f>
        <v>0</v>
      </c>
      <c r="K15" s="96">
        <f>IF(G15="Yes",'Point Schedule'!$D$99,0)</f>
        <v>0</v>
      </c>
      <c r="L15" s="96">
        <f>IF(H15="Yes",'Point Schedule'!$E$99,0)</f>
        <v>0</v>
      </c>
      <c r="M15" s="761"/>
      <c r="N15" s="3"/>
      <c r="O15" s="3"/>
      <c r="P15" s="3"/>
      <c r="Q15" s="3"/>
      <c r="R15" s="3"/>
      <c r="S15" s="3"/>
      <c r="T15" s="3"/>
      <c r="U15" s="3"/>
      <c r="V15" s="3"/>
    </row>
    <row r="16" spans="1:22" ht="20.149999999999999" customHeight="1" x14ac:dyDescent="0.6">
      <c r="A16" s="387"/>
      <c r="B16" s="204"/>
      <c r="C16" s="545"/>
      <c r="D16" s="547"/>
      <c r="E16" s="205"/>
      <c r="F16" s="205"/>
      <c r="G16" s="205"/>
      <c r="H16" s="205"/>
      <c r="I16" s="96">
        <f>IF(E16="Yes",'Point Schedule'!$B$99,0)</f>
        <v>0</v>
      </c>
      <c r="J16" s="96">
        <f>IF(F16="Yes",'Point Schedule'!$C$99,0)</f>
        <v>0</v>
      </c>
      <c r="K16" s="96">
        <f>IF(G16="Yes",'Point Schedule'!$D$99,0)</f>
        <v>0</v>
      </c>
      <c r="L16" s="96">
        <f>IF(H16="Yes",'Point Schedule'!$E$99,0)</f>
        <v>0</v>
      </c>
      <c r="M16" s="761"/>
      <c r="N16" s="3"/>
      <c r="O16" s="3"/>
      <c r="P16" s="3"/>
      <c r="Q16" s="3"/>
      <c r="R16" s="3"/>
      <c r="S16" s="3"/>
      <c r="T16" s="3"/>
      <c r="U16" s="3"/>
      <c r="V16" s="3"/>
    </row>
    <row r="17" spans="1:22" ht="20.149999999999999" customHeight="1" thickBot="1" x14ac:dyDescent="0.75">
      <c r="A17" s="387"/>
      <c r="B17" s="212"/>
      <c r="C17" s="850"/>
      <c r="D17" s="851"/>
      <c r="E17" s="209"/>
      <c r="F17" s="209"/>
      <c r="G17" s="209"/>
      <c r="H17" s="209"/>
      <c r="I17" s="96">
        <f>IF(E17="Yes",'Point Schedule'!$B$99,0)</f>
        <v>0</v>
      </c>
      <c r="J17" s="96">
        <f>IF(F17="Yes",'Point Schedule'!$C$99,0)</f>
        <v>0</v>
      </c>
      <c r="K17" s="96">
        <f>IF(G17="Yes",'Point Schedule'!$D$99,0)</f>
        <v>0</v>
      </c>
      <c r="L17" s="96">
        <f>IF(H17="Yes",'Point Schedule'!$E$99,0)</f>
        <v>0</v>
      </c>
      <c r="M17" s="761"/>
      <c r="N17" s="3"/>
      <c r="O17" s="3"/>
      <c r="P17" s="3"/>
      <c r="Q17" s="3"/>
      <c r="R17" s="3"/>
      <c r="S17" s="3"/>
      <c r="T17" s="3"/>
      <c r="U17" s="3"/>
      <c r="V17" s="3"/>
    </row>
    <row r="18" spans="1:22" ht="30" customHeight="1" thickTop="1" thickBot="1" x14ac:dyDescent="0.75">
      <c r="A18" s="387"/>
      <c r="B18" s="127" t="s">
        <v>729</v>
      </c>
      <c r="C18" s="111">
        <f>SUM(I12:L17)</f>
        <v>0</v>
      </c>
      <c r="D18" s="94"/>
      <c r="E18" s="94"/>
      <c r="F18" s="94"/>
      <c r="G18" s="94"/>
      <c r="H18" s="94"/>
      <c r="I18" s="94"/>
      <c r="J18" s="94"/>
      <c r="K18" s="94"/>
      <c r="L18" s="94"/>
      <c r="M18" s="761"/>
      <c r="N18" s="3"/>
      <c r="O18" s="3"/>
      <c r="P18" s="3"/>
      <c r="Q18" s="3"/>
      <c r="R18" s="3"/>
      <c r="S18" s="3"/>
      <c r="T18" s="3"/>
      <c r="U18" s="3"/>
      <c r="V18" s="3"/>
    </row>
    <row r="19" spans="1:22" ht="14.5" thickTop="1" thickBot="1" x14ac:dyDescent="0.75">
      <c r="A19" s="551"/>
      <c r="B19" s="759"/>
      <c r="C19" s="759"/>
      <c r="D19" s="759"/>
      <c r="E19" s="759"/>
      <c r="F19" s="759"/>
      <c r="G19" s="759"/>
      <c r="H19" s="759"/>
      <c r="I19" s="759"/>
      <c r="J19" s="759"/>
      <c r="K19" s="759"/>
      <c r="L19" s="759"/>
      <c r="M19" s="760"/>
    </row>
    <row r="20" spans="1:22" ht="13.75" thickTop="1" x14ac:dyDescent="0.6"/>
    <row r="21" spans="1:22" x14ac:dyDescent="0.6">
      <c r="K21" s="1"/>
    </row>
    <row r="22" spans="1:22" x14ac:dyDescent="0.6">
      <c r="E22" s="1"/>
    </row>
    <row r="25" spans="1:22" ht="13.5" customHeight="1" x14ac:dyDescent="0.6"/>
    <row r="26" spans="1:22" x14ac:dyDescent="0.6">
      <c r="L26" s="1"/>
    </row>
  </sheetData>
  <sheetProtection algorithmName="SHA-512" hashValue="XlDySLeXiSqSihhpl9+4+rDrFoAo32S3cthfwcq5lnpkzvKrxZYwS91vpnXlkpDfhPRll/fCEJS/u6mBYZLv8w==" saltValue="2/EfZrhNFoq3qLWL3iO6oA==" spinCount="100000" sheet="1" objects="1" scenarios="1"/>
  <mergeCells count="26">
    <mergeCell ref="A1:M1"/>
    <mergeCell ref="A2:A18"/>
    <mergeCell ref="B2:L2"/>
    <mergeCell ref="M2:M18"/>
    <mergeCell ref="B3:L3"/>
    <mergeCell ref="B4:E4"/>
    <mergeCell ref="F4:L4"/>
    <mergeCell ref="B5:E5"/>
    <mergeCell ref="F5:L5"/>
    <mergeCell ref="B6:E6"/>
    <mergeCell ref="F6:L6"/>
    <mergeCell ref="B7:E7"/>
    <mergeCell ref="F7:L7"/>
    <mergeCell ref="B10:B11"/>
    <mergeCell ref="C10:D11"/>
    <mergeCell ref="I10:I11"/>
    <mergeCell ref="J10:J11"/>
    <mergeCell ref="K10:K11"/>
    <mergeCell ref="L10:L11"/>
    <mergeCell ref="A19:M19"/>
    <mergeCell ref="C12:D12"/>
    <mergeCell ref="C13:D13"/>
    <mergeCell ref="C14:D14"/>
    <mergeCell ref="C15:D15"/>
    <mergeCell ref="C16:D16"/>
    <mergeCell ref="C17:D17"/>
  </mergeCells>
  <dataValidations count="1">
    <dataValidation type="list" allowBlank="1" showInputMessage="1" showErrorMessage="1" sqref="E13:H17" xr:uid="{3CBE7676-C297-42C4-8233-682275945C6F}">
      <formula1>YN</formula1>
    </dataValidation>
  </dataValidations>
  <pageMargins left="0.7" right="0.7" top="0.75" bottom="0.75" header="0.3" footer="0.3"/>
  <pageSetup scale="54"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1C371-095D-43C2-B54F-6B7C13CA556C}">
  <dimension ref="A1:AD50"/>
  <sheetViews>
    <sheetView topLeftCell="A4" zoomScaleNormal="100" workbookViewId="0">
      <selection activeCell="G17" sqref="G17"/>
    </sheetView>
  </sheetViews>
  <sheetFormatPr defaultColWidth="12.6796875" defaultRowHeight="13" x14ac:dyDescent="0.6"/>
  <cols>
    <col min="1" max="1" width="2.6796875" customWidth="1"/>
    <col min="3" max="3" width="15.6796875" customWidth="1"/>
    <col min="4" max="4" width="30.6796875" customWidth="1"/>
    <col min="5" max="6" width="12.6796875" customWidth="1"/>
    <col min="10" max="14" width="12.6796875" customWidth="1"/>
    <col min="21" max="21" width="2.6796875" customWidth="1"/>
  </cols>
  <sheetData>
    <row r="1" spans="1:30" ht="14.5" thickTop="1" thickBot="1" x14ac:dyDescent="0.75">
      <c r="A1" s="742"/>
      <c r="B1" s="743"/>
      <c r="C1" s="743"/>
      <c r="D1" s="743"/>
      <c r="E1" s="743"/>
      <c r="F1" s="743"/>
      <c r="G1" s="743"/>
      <c r="H1" s="743"/>
      <c r="I1" s="743"/>
      <c r="J1" s="743"/>
      <c r="K1" s="743"/>
      <c r="L1" s="743"/>
      <c r="M1" s="743"/>
      <c r="N1" s="743"/>
      <c r="O1" s="743"/>
      <c r="P1" s="743"/>
      <c r="Q1" s="743"/>
      <c r="R1" s="743"/>
      <c r="S1" s="743"/>
      <c r="T1" s="743"/>
      <c r="U1" s="744"/>
    </row>
    <row r="2" spans="1:30" ht="25.15" customHeight="1" thickTop="1" thickBot="1" x14ac:dyDescent="0.75">
      <c r="A2" s="387"/>
      <c r="B2" s="745" t="s">
        <v>721</v>
      </c>
      <c r="C2" s="746"/>
      <c r="D2" s="746"/>
      <c r="E2" s="746"/>
      <c r="F2" s="747"/>
      <c r="G2" s="747"/>
      <c r="H2" s="747"/>
      <c r="I2" s="747"/>
      <c r="J2" s="747"/>
      <c r="K2" s="747"/>
      <c r="L2" s="747"/>
      <c r="M2" s="747"/>
      <c r="N2" s="747"/>
      <c r="O2" s="747"/>
      <c r="P2" s="747"/>
      <c r="Q2" s="747"/>
      <c r="R2" s="747"/>
      <c r="S2" s="747"/>
      <c r="T2" s="748"/>
      <c r="U2" s="761"/>
    </row>
    <row r="3" spans="1:30" ht="20.149999999999999" customHeight="1" thickTop="1" thickBot="1" x14ac:dyDescent="0.75">
      <c r="A3" s="387"/>
      <c r="B3" s="388"/>
      <c r="C3" s="388"/>
      <c r="D3" s="388"/>
      <c r="E3" s="388"/>
      <c r="F3" s="388"/>
      <c r="G3" s="388"/>
      <c r="H3" s="388"/>
      <c r="I3" s="388"/>
      <c r="J3" s="388"/>
      <c r="K3" s="388"/>
      <c r="L3" s="388"/>
      <c r="M3" s="388"/>
      <c r="N3" s="388"/>
      <c r="O3" s="388"/>
      <c r="P3" s="388"/>
      <c r="Q3" s="388"/>
      <c r="R3" s="388"/>
      <c r="S3" s="388"/>
      <c r="T3" s="388"/>
      <c r="U3" s="761"/>
    </row>
    <row r="4" spans="1:30" ht="20.149999999999999" customHeight="1" thickTop="1" x14ac:dyDescent="0.7">
      <c r="A4" s="387"/>
      <c r="B4" s="448" t="s">
        <v>510</v>
      </c>
      <c r="C4" s="564"/>
      <c r="D4" s="564"/>
      <c r="E4" s="564"/>
      <c r="F4" s="438"/>
      <c r="G4" s="752" t="str">
        <f>SUBSTITUTE(Summary!$D$5,,Summary!$D$5)</f>
        <v/>
      </c>
      <c r="H4" s="753"/>
      <c r="I4" s="753"/>
      <c r="J4" s="753"/>
      <c r="K4" s="753"/>
      <c r="L4" s="753"/>
      <c r="M4" s="753"/>
      <c r="N4" s="753"/>
      <c r="O4" s="753"/>
      <c r="P4" s="753"/>
      <c r="Q4" s="753"/>
      <c r="R4" s="753"/>
      <c r="S4" s="753"/>
      <c r="T4" s="754"/>
      <c r="U4" s="761"/>
      <c r="V4" s="3"/>
      <c r="W4" s="3"/>
      <c r="X4" s="3"/>
      <c r="Y4" s="3"/>
      <c r="Z4" s="3"/>
      <c r="AA4" s="3"/>
      <c r="AB4" s="3"/>
      <c r="AC4" s="3"/>
      <c r="AD4" s="3"/>
    </row>
    <row r="5" spans="1:30" ht="20.149999999999999" customHeight="1" x14ac:dyDescent="0.7">
      <c r="A5" s="387"/>
      <c r="B5" s="449" t="s">
        <v>66</v>
      </c>
      <c r="C5" s="586"/>
      <c r="D5" s="586"/>
      <c r="E5" s="586"/>
      <c r="F5" s="413"/>
      <c r="G5" s="767" t="str">
        <f>SUBSTITUTE(Summary!D7,,Summary!D7)</f>
        <v/>
      </c>
      <c r="H5" s="768"/>
      <c r="I5" s="768"/>
      <c r="J5" s="768"/>
      <c r="K5" s="768"/>
      <c r="L5" s="768"/>
      <c r="M5" s="768"/>
      <c r="N5" s="768"/>
      <c r="O5" s="768"/>
      <c r="P5" s="768"/>
      <c r="Q5" s="768"/>
      <c r="R5" s="768"/>
      <c r="S5" s="768"/>
      <c r="T5" s="769"/>
      <c r="U5" s="761"/>
      <c r="V5" s="3"/>
      <c r="W5" s="3"/>
      <c r="X5" s="3"/>
      <c r="Y5" s="3"/>
      <c r="Z5" s="3"/>
      <c r="AA5" s="3"/>
      <c r="AB5" s="3"/>
      <c r="AC5" s="3"/>
      <c r="AD5" s="3"/>
    </row>
    <row r="6" spans="1:30" ht="20.149999999999999" customHeight="1" x14ac:dyDescent="0.7">
      <c r="A6" s="387"/>
      <c r="B6" s="449" t="s">
        <v>100</v>
      </c>
      <c r="C6" s="586"/>
      <c r="D6" s="586"/>
      <c r="E6" s="586"/>
      <c r="F6" s="413"/>
      <c r="G6" s="767" t="str">
        <f>SUBSTITUTE(Summary!D8,,Summary!D8)</f>
        <v/>
      </c>
      <c r="H6" s="768"/>
      <c r="I6" s="768"/>
      <c r="J6" s="768"/>
      <c r="K6" s="768"/>
      <c r="L6" s="768"/>
      <c r="M6" s="768"/>
      <c r="N6" s="768"/>
      <c r="O6" s="768"/>
      <c r="P6" s="768"/>
      <c r="Q6" s="768"/>
      <c r="R6" s="768"/>
      <c r="S6" s="768"/>
      <c r="T6" s="769"/>
      <c r="U6" s="761"/>
      <c r="V6" s="3"/>
      <c r="W6" s="3"/>
      <c r="X6" s="3"/>
      <c r="Y6" s="3"/>
      <c r="Z6" s="3"/>
      <c r="AA6" s="3"/>
      <c r="AB6" s="3"/>
      <c r="AC6" s="3"/>
      <c r="AD6" s="3"/>
    </row>
    <row r="7" spans="1:30" ht="20.149999999999999" customHeight="1" thickBot="1" x14ac:dyDescent="0.85">
      <c r="A7" s="387"/>
      <c r="B7" s="764" t="s">
        <v>299</v>
      </c>
      <c r="C7" s="765"/>
      <c r="D7" s="765"/>
      <c r="E7" s="765"/>
      <c r="F7" s="766"/>
      <c r="G7" s="770" t="str">
        <f>SUBSTITUTE(Summary!D9,,Summary!D9)</f>
        <v/>
      </c>
      <c r="H7" s="765"/>
      <c r="I7" s="765"/>
      <c r="J7" s="765"/>
      <c r="K7" s="765"/>
      <c r="L7" s="765"/>
      <c r="M7" s="765"/>
      <c r="N7" s="765"/>
      <c r="O7" s="765"/>
      <c r="P7" s="765"/>
      <c r="Q7" s="765"/>
      <c r="R7" s="765"/>
      <c r="S7" s="765"/>
      <c r="T7" s="771"/>
      <c r="U7" s="761"/>
      <c r="V7" s="3"/>
      <c r="W7" s="3"/>
      <c r="X7" s="3"/>
      <c r="Y7" s="3"/>
      <c r="Z7" s="3"/>
      <c r="AA7" s="3"/>
      <c r="AB7" s="3"/>
      <c r="AC7" s="3"/>
      <c r="AD7" s="3"/>
    </row>
    <row r="8" spans="1:30" ht="20.149999999999999" customHeight="1" thickTop="1" x14ac:dyDescent="0.6">
      <c r="A8" s="387"/>
      <c r="B8" s="20"/>
      <c r="C8" s="16"/>
      <c r="D8" s="16"/>
      <c r="E8" s="16"/>
      <c r="F8" s="16"/>
      <c r="G8" s="16"/>
      <c r="H8" s="16"/>
      <c r="I8" s="16"/>
      <c r="J8" s="16"/>
      <c r="K8" s="16"/>
      <c r="L8" s="16"/>
      <c r="M8" s="16"/>
      <c r="N8" s="16"/>
      <c r="O8" s="16"/>
      <c r="P8" s="16"/>
      <c r="Q8" s="16"/>
      <c r="R8" s="16"/>
      <c r="S8" s="16"/>
      <c r="T8" s="16"/>
      <c r="U8" s="761"/>
      <c r="V8" s="3"/>
      <c r="W8" s="3"/>
      <c r="X8" s="3"/>
      <c r="Y8" s="3"/>
      <c r="Z8" s="3"/>
      <c r="AA8" s="3"/>
      <c r="AB8" s="3"/>
      <c r="AC8" s="3"/>
      <c r="AD8" s="3"/>
    </row>
    <row r="9" spans="1:30" ht="16.149999999999999" customHeight="1" thickBot="1" x14ac:dyDescent="0.75">
      <c r="A9" s="387"/>
      <c r="B9" s="52"/>
      <c r="C9" s="16"/>
      <c r="D9" s="16"/>
      <c r="E9" s="16"/>
      <c r="F9" s="16"/>
      <c r="G9" s="16"/>
      <c r="H9" s="16"/>
      <c r="I9" s="16"/>
      <c r="J9" s="16"/>
      <c r="K9" s="16"/>
      <c r="L9" s="16"/>
      <c r="M9" s="16"/>
      <c r="N9" s="16"/>
      <c r="O9" s="52"/>
      <c r="P9" s="52"/>
      <c r="Q9" s="52"/>
      <c r="R9" s="52"/>
      <c r="S9" s="52"/>
      <c r="T9" s="52"/>
      <c r="U9" s="761"/>
      <c r="V9" s="3"/>
      <c r="W9" s="3"/>
      <c r="X9" s="3"/>
      <c r="Y9" s="3"/>
      <c r="Z9" s="3"/>
      <c r="AA9" s="3"/>
      <c r="AB9" s="3"/>
      <c r="AC9" s="3"/>
      <c r="AD9" s="3"/>
    </row>
    <row r="10" spans="1:30" s="3" customFormat="1" ht="34.5" customHeight="1" thickTop="1" x14ac:dyDescent="0.6">
      <c r="A10" s="387"/>
      <c r="B10" s="489" t="s">
        <v>10</v>
      </c>
      <c r="C10" s="452" t="s">
        <v>271</v>
      </c>
      <c r="D10" s="454"/>
      <c r="E10" s="490" t="s">
        <v>799</v>
      </c>
      <c r="F10" s="103" t="s">
        <v>739</v>
      </c>
      <c r="G10" s="103" t="s">
        <v>741</v>
      </c>
      <c r="H10" s="103" t="s">
        <v>742</v>
      </c>
      <c r="I10" s="103" t="s">
        <v>743</v>
      </c>
      <c r="J10" s="319" t="s">
        <v>744</v>
      </c>
      <c r="K10" s="103" t="s">
        <v>745</v>
      </c>
      <c r="L10" s="103" t="s">
        <v>746</v>
      </c>
      <c r="M10" s="490" t="s">
        <v>800</v>
      </c>
      <c r="N10" s="103" t="s">
        <v>739</v>
      </c>
      <c r="O10" s="103" t="s">
        <v>741</v>
      </c>
      <c r="P10" s="103" t="s">
        <v>742</v>
      </c>
      <c r="Q10" s="103" t="s">
        <v>743</v>
      </c>
      <c r="R10" s="319" t="s">
        <v>744</v>
      </c>
      <c r="S10" s="103" t="s">
        <v>745</v>
      </c>
      <c r="T10" s="103" t="s">
        <v>746</v>
      </c>
      <c r="U10" s="761"/>
    </row>
    <row r="11" spans="1:30" s="3" customFormat="1" ht="31" x14ac:dyDescent="0.6">
      <c r="A11" s="387"/>
      <c r="B11" s="776"/>
      <c r="C11" s="455"/>
      <c r="D11" s="457"/>
      <c r="E11" s="852"/>
      <c r="F11" s="126" t="s">
        <v>740</v>
      </c>
      <c r="G11" s="126" t="s">
        <v>740</v>
      </c>
      <c r="H11" s="126" t="s">
        <v>740</v>
      </c>
      <c r="I11" s="126" t="s">
        <v>740</v>
      </c>
      <c r="J11" s="126" t="s">
        <v>740</v>
      </c>
      <c r="K11" s="126" t="s">
        <v>740</v>
      </c>
      <c r="L11" s="126" t="s">
        <v>740</v>
      </c>
      <c r="M11" s="852"/>
      <c r="N11" s="126" t="s">
        <v>740</v>
      </c>
      <c r="O11" s="126" t="s">
        <v>740</v>
      </c>
      <c r="P11" s="126" t="s">
        <v>740</v>
      </c>
      <c r="Q11" s="126" t="s">
        <v>740</v>
      </c>
      <c r="R11" s="126" t="s">
        <v>740</v>
      </c>
      <c r="S11" s="126" t="s">
        <v>740</v>
      </c>
      <c r="T11" s="126" t="s">
        <v>740</v>
      </c>
      <c r="U11" s="761"/>
    </row>
    <row r="12" spans="1:30" ht="20.149999999999999" customHeight="1" x14ac:dyDescent="0.6">
      <c r="A12" s="387"/>
      <c r="B12" s="281" t="s">
        <v>572</v>
      </c>
      <c r="C12" s="796" t="s">
        <v>573</v>
      </c>
      <c r="D12" s="797"/>
      <c r="E12" s="270" t="s">
        <v>574</v>
      </c>
      <c r="F12" s="270" t="s">
        <v>574</v>
      </c>
      <c r="G12" s="270" t="s">
        <v>574</v>
      </c>
      <c r="H12" s="270" t="s">
        <v>574</v>
      </c>
      <c r="I12" s="270" t="s">
        <v>574</v>
      </c>
      <c r="J12" s="270" t="s">
        <v>574</v>
      </c>
      <c r="K12" s="270" t="s">
        <v>574</v>
      </c>
      <c r="L12" s="270" t="s">
        <v>574</v>
      </c>
      <c r="M12" s="96"/>
      <c r="N12" s="96"/>
      <c r="O12" s="96"/>
      <c r="P12" s="96"/>
      <c r="Q12" s="96"/>
      <c r="R12" s="96"/>
      <c r="S12" s="96"/>
      <c r="T12" s="73"/>
      <c r="U12" s="761"/>
      <c r="V12" s="3"/>
      <c r="W12" s="3"/>
      <c r="X12" s="3"/>
      <c r="Y12" s="3"/>
      <c r="Z12" s="3"/>
      <c r="AA12" s="3"/>
      <c r="AB12" s="3"/>
      <c r="AC12" s="3"/>
      <c r="AD12" s="3"/>
    </row>
    <row r="13" spans="1:30" ht="20.149999999999999" customHeight="1" x14ac:dyDescent="0.6">
      <c r="A13" s="387"/>
      <c r="B13" s="204"/>
      <c r="C13" s="545"/>
      <c r="D13" s="547"/>
      <c r="E13" s="205"/>
      <c r="F13" s="205"/>
      <c r="G13" s="205"/>
      <c r="H13" s="205"/>
      <c r="I13" s="205"/>
      <c r="J13" s="206"/>
      <c r="K13" s="206"/>
      <c r="L13" s="206"/>
      <c r="M13" s="113">
        <f>IF($E13="Yes",'Point Schedule'!$B$93,0)</f>
        <v>0</v>
      </c>
      <c r="N13" s="96">
        <f>IF(AND($F13="SCN",$F13="SCN"),'Point Schedule'!$B$85,IF(AND($F13="SCNE",$F13="SCNE"),'Point Schedule'!$B$86,IF(AND($F13="SCA",$F13="SCA"),'Point Schedule'!$B$87,IF(AND($F13="SCAE",$F13="SCAE"),'Point Schedule'!$B$88,IF(AND($F13="SCE",$F13="SCE"),'Point Schedule'!$B$89,IF(AND($F13="SCM",$F13="SCM"),'Point Schedule'!$B$91,IF(AND($F13="SCME",$F13="SCME"),'Point Schedule'!$B$92,IF(AND($F13="SCEE",$F13="SCEE"),'Point Schedule'!$B$89,0))))))))</f>
        <v>0</v>
      </c>
      <c r="O13" s="96">
        <f>IF(AND($G13="SIN",$G13="SIN"),'Point Schedule'!$C$85,IF(AND($G13="SINE",$G13="SINE"),'Point Schedule'!$C$86,IF(AND($G13="SIA",$G13="SIA"),'Point Schedule'!$C$87,IF(AND($G13="SIAE",$G13="SIAE"),'Point Schedule'!$C$88,IF(AND($G13="SIE",$G13="SIE"),'Point Schedule'!$C$89,IF(AND($G13="SIM",$G13="SIM"),'Point Schedule'!$C$91,IF(AND($G13="SIME",$G13="SIME"),'Point Schedule'!$C$92,IF(AND($G13="SIEE",$G13="SIEE"),'Point Schedule'!$C$89,0))))))))</f>
        <v>0</v>
      </c>
      <c r="P13" s="96">
        <f>IF(AND($H13="SEN",$H13="SEN"),'Point Schedule'!$D$85,IF(AND($H13="SENE",$H13="SENE"),'Point Schedule'!$D$86,IF(AND($H13="SEA",$H13="SEA"),'Point Schedule'!$D$87,IF(AND($H13="SEAE",$H13="SEAE"),'Point Schedule'!$D$88,IF(AND($H13="SEE",$H13="SEE"),'Point Schedule'!$D$89,IF(AND($H13="SEM",$H13="SEM"),'Point Schedule'!$D$91,IF(AND($H13="SEME",$H13="SEME"),'Point Schedule'!$D$92,IF(AND($H13="SEEE",$H13="SEEE"),'Point Schedule'!$D$89,0))))))))</f>
        <v>0</v>
      </c>
      <c r="Q13" s="96">
        <f>IF(AND($I13="SBN",$I13="SBN"),'Point Schedule'!$E$85,IF(AND($I13="SBNE",$I13="SBNE"),'Point Schedule'!$E$86,IF(AND($I13="SBA",$I13="SBA"),'Point Schedule'!$E$87,IF(AND($I13="SBAE",$I13="SBAE"),'Point Schedule'!$E$88,IF(AND($I13="SBE",$I13="SBE"),'Point Schedule'!$E$89,IF(AND($I13="SBM",$I13="SBM"),'Point Schedule'!$E$91,IF(AND($I13="SBME",$I13="SBME"),'Point Schedule'!$E$92,IF(AND($I13="SBEE",$I13="SBEE"),'Point Schedule'!$E$89,0))))))))</f>
        <v>0</v>
      </c>
      <c r="R13" s="96">
        <f>IF(AND($J13="SHDN",$J13="SHDN"),'Point Schedule'!$F$85,IF(AND($J13="SHDNE",$J13="SHDNE"),'Point Schedule'!$F$86,IF(AND($J13="SHDA",$J13="SHDA"),'Point Schedule'!$F$87,IF(AND($J13="SHDAE",$J13="SHDAE"),'Point Schedule'!$F$88,IF(AND($J13="SHDE",$J13="SHDE"),'Point Schedule'!$F$89,IF(AND(J13="SHDM",$J13="SHDM"),'Point Schedule'!$F$91,IF(AND($J13="SHDME",$J13="SHDME"),'Point Schedule'!$F$92,IF(AND($J13="SHDEE",$J13="SHDEE"),'Point Schedule'!$F$89,0))))))))</f>
        <v>0</v>
      </c>
      <c r="S13" s="96">
        <f>IF(AND($K13="SND",$K13="SND"),'Point Schedule'!$G$85,0)</f>
        <v>0</v>
      </c>
      <c r="T13" s="96">
        <f>IF(AND($L13="SWN",$L13="SWN"),'Point Schedule'!$H$85,IF(AND($L13="SWNE",$L13="SWNE"),'Point Schedule'!$H$86,IF(AND($L13="SWA",$L13="SWA"),'Point Schedule'!$H$87,IF(AND($L13="SWAE",$L13="SWAE"),'Point Schedule'!$H$88,IF(AND($L13="SWE",$L13="SWE"),'Point Schedule'!$H$89,IF(AND($L13="SWM",$L13="SWM"),'Point Schedule'!$H$91,IF(AND($L13="SWME",$L13="SWME"),'Point Schedule'!$H$92,IF(AND($L13="SWEE",$L13="SWEE"),'Point Schedule'!$H$89,0))))))))</f>
        <v>0</v>
      </c>
      <c r="U13" s="761"/>
      <c r="V13" s="3"/>
      <c r="W13" s="3"/>
      <c r="X13" s="3"/>
      <c r="Y13" s="3"/>
      <c r="Z13" s="3"/>
      <c r="AA13" s="3"/>
      <c r="AB13" s="3"/>
      <c r="AC13" s="3"/>
      <c r="AD13" s="3"/>
    </row>
    <row r="14" spans="1:30" ht="20.149999999999999" customHeight="1" x14ac:dyDescent="0.6">
      <c r="A14" s="387"/>
      <c r="B14" s="204"/>
      <c r="C14" s="545"/>
      <c r="D14" s="547"/>
      <c r="E14" s="205"/>
      <c r="F14" s="205"/>
      <c r="G14" s="205"/>
      <c r="H14" s="205"/>
      <c r="I14" s="205"/>
      <c r="J14" s="206"/>
      <c r="K14" s="206"/>
      <c r="L14" s="206"/>
      <c r="M14" s="113">
        <f>IF($E14="Yes",'Point Schedule'!$B$93,0)</f>
        <v>0</v>
      </c>
      <c r="N14" s="96">
        <f>IF(AND($F14="SCN",$F14="SCN"),'Point Schedule'!$B$85,IF(AND($F14="SCNE",$F14="SCNE"),'Point Schedule'!$B$86,IF(AND($F14="SCA",$F14="SCA"),'Point Schedule'!$B$87,IF(AND($F14="SCAE",$F14="SCAE"),'Point Schedule'!$B$88,IF(AND($F14="SCE",$F14="SCE"),'Point Schedule'!$B$89,IF(AND($F14="SCM",$F14="SCM"),'Point Schedule'!$B$91,IF(AND($F14="SCME",$F14="SCME"),'Point Schedule'!$B$92,IF(AND($F14="SCEE",$F14="SCEE"),'Point Schedule'!$B$89,0))))))))</f>
        <v>0</v>
      </c>
      <c r="O14" s="96">
        <f>IF(AND($G14="SIN",$G14="SIN"),'Point Schedule'!$C$85,IF(AND($G14="SINE",$G14="SINE"),'Point Schedule'!$C$86,IF(AND($G14="SIA",$G14="SIA"),'Point Schedule'!$C$87,IF(AND($G14="SIAE",$G14="SIAE"),'Point Schedule'!$C$88,IF(AND($G14="SIE",$G14="SIE"),'Point Schedule'!$C$89,IF(AND($G14="SIM",$G14="SIM"),'Point Schedule'!$C$91,IF(AND($G14="SIME",$G14="SIME"),'Point Schedule'!$C$92,IF(AND($G14="SIEE",$G14="SIEE"),'Point Schedule'!$C$89,0))))))))</f>
        <v>0</v>
      </c>
      <c r="P14" s="96">
        <f>IF(AND($H14="SEN",$H14="SEN"),'Point Schedule'!$D$85,IF(AND($H14="SENE",$H14="SENE"),'Point Schedule'!$D$86,IF(AND($H14="SEA",$H14="SEA"),'Point Schedule'!$D$87,IF(AND($H14="SEAE",$H14="SEAE"),'Point Schedule'!$D$88,IF(AND($H14="SEE",$H14="SEE"),'Point Schedule'!$D$89,IF(AND($H14="SEM",$H14="SEM"),'Point Schedule'!$D$91,IF(AND($H14="SEME",$H14="SEME"),'Point Schedule'!$D$92,IF(AND($H14="SEEE",$H14="SEEE"),'Point Schedule'!$D$89,0))))))))</f>
        <v>0</v>
      </c>
      <c r="Q14" s="96">
        <f>IF(AND($I14="SBN",$I14="SBN"),'Point Schedule'!$E$85,IF(AND($I14="SBNE",$I14="SBNE"),'Point Schedule'!$E$86,IF(AND($I14="SBA",$I14="SBA"),'Point Schedule'!$E$87,IF(AND($I14="SBAE",$I14="SBAE"),'Point Schedule'!$E$88,IF(AND($I14="SBE",$I14="SBE"),'Point Schedule'!$E$89,IF(AND($I14="SBM",$I14="SBM"),'Point Schedule'!$E$91,IF(AND($I14="SBME",$I14="SBME"),'Point Schedule'!$E$92,IF(AND($I14="SBEE",$I14="SBEE"),'Point Schedule'!$E$89,0))))))))</f>
        <v>0</v>
      </c>
      <c r="R14" s="96">
        <f>IF(AND($J14="SHDN",$J14="SHDN"),'Point Schedule'!$F$85,IF(AND($J14="SHDNE",$J14="SHDNE"),'Point Schedule'!$F$86,IF(AND($J14="SHDA",$J14="SHDA"),'Point Schedule'!$F$87,IF(AND($J14="SHDAE",$J14="SHDAE"),'Point Schedule'!$F$88,IF(AND($J14="SHDE",$J14="SHDE"),'Point Schedule'!$F$89,IF(AND(J14="SHDM",$J14="SHDM"),'Point Schedule'!$F$91,IF(AND($J14="SHDME",$J14="SHDME"),'Point Schedule'!$F$92,IF(AND($J14="SHDEE",$J14="SHDEE"),'Point Schedule'!$F$89,0))))))))</f>
        <v>0</v>
      </c>
      <c r="S14" s="96">
        <f>IF(AND($K14="SND",$K14="SND"),'Point Schedule'!$G$85,0)</f>
        <v>0</v>
      </c>
      <c r="T14" s="96">
        <f>IF(AND($L14="SWN",$L14="SWN"),'Point Schedule'!$H$85,IF(AND($L14="SWNE",$L14="SWNE"),'Point Schedule'!$H$86,IF(AND($L14="SWA",$L14="SWA"),'Point Schedule'!$H$87,IF(AND($L14="SWAE",$L14="SWAE"),'Point Schedule'!$H$88,IF(AND($L14="SWE",$L14="SWE"),'Point Schedule'!$H$89,IF(AND($L14="SWM",$L14="SWM"),'Point Schedule'!$H$91,IF(AND($L14="SWME",$L14="SWME"),'Point Schedule'!$H$92,IF(AND($L14="SWEE",$L14="SWEE"),'Point Schedule'!$H$89,0))))))))</f>
        <v>0</v>
      </c>
      <c r="U14" s="761"/>
      <c r="V14" s="3"/>
      <c r="W14" s="3"/>
      <c r="X14" s="3"/>
      <c r="Y14" s="3"/>
      <c r="Z14" s="3"/>
      <c r="AA14" s="3"/>
      <c r="AB14" s="3"/>
      <c r="AC14" s="3"/>
      <c r="AD14" s="3"/>
    </row>
    <row r="15" spans="1:30" ht="20.149999999999999" customHeight="1" x14ac:dyDescent="0.6">
      <c r="A15" s="387"/>
      <c r="B15" s="204"/>
      <c r="C15" s="545"/>
      <c r="D15" s="547"/>
      <c r="E15" s="205"/>
      <c r="F15" s="205"/>
      <c r="G15" s="205"/>
      <c r="H15" s="205"/>
      <c r="I15" s="205"/>
      <c r="J15" s="206"/>
      <c r="K15" s="206"/>
      <c r="L15" s="206"/>
      <c r="M15" s="113">
        <f>IF($E15="Yes",'Point Schedule'!$B$93,0)</f>
        <v>0</v>
      </c>
      <c r="N15" s="96">
        <f>IF(AND($F15="SCN",$F15="SCN"),'Point Schedule'!$B$85,IF(AND($F15="SCNE",$F15="SCNE"),'Point Schedule'!$B$86,IF(AND($F15="SCA",$F15="SCA"),'Point Schedule'!$B$87,IF(AND($F15="SCAE",$F15="SCAE"),'Point Schedule'!$B$88,IF(AND($F15="SCE",$F15="SCE"),'Point Schedule'!$B$89,IF(AND($F15="SCM",$F15="SCM"),'Point Schedule'!$B$91,IF(AND($F15="SCME",$F15="SCME"),'Point Schedule'!$B$92,IF(AND($F15="SCEE",$F15="SCEE"),'Point Schedule'!$B$89,0))))))))</f>
        <v>0</v>
      </c>
      <c r="O15" s="96">
        <f>IF(AND($G15="SIN",$G15="SIN"),'Point Schedule'!$C$85,IF(AND($G15="SINE",$G15="SINE"),'Point Schedule'!$C$86,IF(AND($G15="SIA",$G15="SIA"),'Point Schedule'!$C$87,IF(AND($G15="SIAE",$G15="SIAE"),'Point Schedule'!$C$88,IF(AND($G15="SIE",$G15="SIE"),'Point Schedule'!$C$89,IF(AND($G15="SIM",$G15="SIM"),'Point Schedule'!$C$91,IF(AND($G15="SIME",$G15="SIME"),'Point Schedule'!$C$92,IF(AND($G15="SIEE",$G15="SIEE"),'Point Schedule'!$C$89,0))))))))</f>
        <v>0</v>
      </c>
      <c r="P15" s="96">
        <f>IF(AND($H15="SEN",$H15="SEN"),'Point Schedule'!$D$85,IF(AND($H15="SENE",$H15="SENE"),'Point Schedule'!$D$86,IF(AND($H15="SEA",$H15="SEA"),'Point Schedule'!$D$87,IF(AND($H15="SEAE",$H15="SEAE"),'Point Schedule'!$D$88,IF(AND($H15="SEE",$H15="SEE"),'Point Schedule'!$D$89,IF(AND($H15="SEM",$H15="SEM"),'Point Schedule'!$D$91,IF(AND($H15="SEME",$H15="SEME"),'Point Schedule'!$D$92,IF(AND($H15="SEEE",$H15="SEEE"),'Point Schedule'!$D$89,0))))))))</f>
        <v>0</v>
      </c>
      <c r="Q15" s="96">
        <f>IF(AND($I15="SBN",$I15="SBN"),'Point Schedule'!$E$85,IF(AND($I15="SBNE",$I15="SBNE"),'Point Schedule'!$E$86,IF(AND($I15="SBA",$I15="SBA"),'Point Schedule'!$E$87,IF(AND($I15="SBAE",$I15="SBAE"),'Point Schedule'!$E$88,IF(AND($I15="SBE",$I15="SBE"),'Point Schedule'!$E$89,IF(AND($I15="SBM",$I15="SBM"),'Point Schedule'!$E$91,IF(AND($I15="SBME",$I15="SBME"),'Point Schedule'!$E$92,IF(AND($I15="SBEE",$I15="SBEE"),'Point Schedule'!$E$89,0))))))))</f>
        <v>0</v>
      </c>
      <c r="R15" s="96">
        <f>IF(AND($J15="SHDN",$J15="SHDN"),'Point Schedule'!$F$85,IF(AND($J15="SHDNE",$J15="SHDNE"),'Point Schedule'!$F$86,IF(AND($J15="SHDA",$J15="SHDA"),'Point Schedule'!$F$87,IF(AND($J15="SHDAE",$J15="SHDAE"),'Point Schedule'!$F$88,IF(AND($J15="SHDE",$J15="SHDE"),'Point Schedule'!$F$89,IF(AND(J15="SHDM",$J15="SHDM"),'Point Schedule'!$F$91,IF(AND($J15="SHDME",$J15="SHDME"),'Point Schedule'!$F$92,IF(AND($J15="SHDEE",$J15="SHDEE"),'Point Schedule'!$F$89,0))))))))</f>
        <v>0</v>
      </c>
      <c r="S15" s="96">
        <f>IF(AND($K15="SND",$K15="SND"),'Point Schedule'!$G$85,0)</f>
        <v>0</v>
      </c>
      <c r="T15" s="96">
        <f>IF(AND($L15="SWN",$L15="SWN"),'Point Schedule'!$H$85,IF(AND($L15="SWNE",$L15="SWNE"),'Point Schedule'!$H$86,IF(AND($L15="SWA",$L15="SWA"),'Point Schedule'!$H$87,IF(AND($L15="SWAE",$L15="SWAE"),'Point Schedule'!$H$88,IF(AND($L15="SWE",$L15="SWE"),'Point Schedule'!$H$89,IF(AND($L15="SWM",$L15="SWM"),'Point Schedule'!$H$91,IF(AND($L15="SWME",$L15="SWME"),'Point Schedule'!$H$92,IF(AND($L15="SWEE",$L15="SWEE"),'Point Schedule'!$H$89,0))))))))</f>
        <v>0</v>
      </c>
      <c r="U15" s="761"/>
      <c r="V15" s="3"/>
      <c r="W15" s="3"/>
      <c r="X15" s="3"/>
      <c r="Y15" s="3"/>
      <c r="Z15" s="3"/>
      <c r="AA15" s="3"/>
      <c r="AB15" s="3"/>
      <c r="AC15" s="3"/>
      <c r="AD15" s="3"/>
    </row>
    <row r="16" spans="1:30" ht="20.149999999999999" customHeight="1" x14ac:dyDescent="0.6">
      <c r="A16" s="387"/>
      <c r="B16" s="204"/>
      <c r="C16" s="545"/>
      <c r="D16" s="547"/>
      <c r="E16" s="205"/>
      <c r="F16" s="205"/>
      <c r="G16" s="205"/>
      <c r="H16" s="205"/>
      <c r="I16" s="205"/>
      <c r="J16" s="206"/>
      <c r="K16" s="206"/>
      <c r="L16" s="206"/>
      <c r="M16" s="113">
        <f>IF($E16="Yes",'Point Schedule'!$B$93,0)</f>
        <v>0</v>
      </c>
      <c r="N16" s="96">
        <f>IF(AND($F16="SCN",$F16="SCN"),'Point Schedule'!$B$85,IF(AND($F16="SCNE",$F16="SCNE"),'Point Schedule'!$B$86,IF(AND($F16="SCA",$F16="SCA"),'Point Schedule'!$B$87,IF(AND($F16="SCAE",$F16="SCAE"),'Point Schedule'!$B$88,IF(AND($F16="SCE",$F16="SCE"),'Point Schedule'!$B$89,IF(AND($F16="SCM",$F16="SCM"),'Point Schedule'!$B$91,IF(AND($F16="SCME",$F16="SCME"),'Point Schedule'!$B$92,IF(AND($F16="SCEE",$F16="SCEE"),'Point Schedule'!$B$89,0))))))))</f>
        <v>0</v>
      </c>
      <c r="O16" s="96">
        <f>IF(AND($G16="SIN",$G16="SIN"),'Point Schedule'!$C$85,IF(AND($G16="SINE",$G16="SINE"),'Point Schedule'!$C$86,IF(AND($G16="SIA",$G16="SIA"),'Point Schedule'!$C$87,IF(AND($G16="SIAE",$G16="SIAE"),'Point Schedule'!$C$88,IF(AND($G16="SIE",$G16="SIE"),'Point Schedule'!$C$89,IF(AND($G16="SIM",$G16="SIM"),'Point Schedule'!$C$91,IF(AND($G16="SIME",$G16="SIME"),'Point Schedule'!$C$92,IF(AND($G16="SIEE",$G16="SIEE"),'Point Schedule'!$C$89,0))))))))</f>
        <v>0</v>
      </c>
      <c r="P16" s="96">
        <f>IF(AND($H16="SEN",$H16="SEN"),'Point Schedule'!$D$85,IF(AND($H16="SENE",$H16="SENE"),'Point Schedule'!$D$86,IF(AND($H16="SEA",$H16="SEA"),'Point Schedule'!$D$87,IF(AND($H16="SEAE",$H16="SEAE"),'Point Schedule'!$D$88,IF(AND($H16="SEE",$H16="SEE"),'Point Schedule'!$D$89,IF(AND($H16="SEM",$H16="SEM"),'Point Schedule'!$D$91,IF(AND($H16="SEME",$H16="SEME"),'Point Schedule'!$D$92,IF(AND($H16="SEEE",$H16="SEEE"),'Point Schedule'!$D$89,0))))))))</f>
        <v>0</v>
      </c>
      <c r="Q16" s="96">
        <f>IF(AND($I16="SBN",$I16="SBN"),'Point Schedule'!$E$85,IF(AND($I16="SBNE",$I16="SBNE"),'Point Schedule'!$E$86,IF(AND($I16="SBA",$I16="SBA"),'Point Schedule'!$E$87,IF(AND($I16="SBAE",$I16="SBAE"),'Point Schedule'!$E$88,IF(AND($I16="SBE",$I16="SBE"),'Point Schedule'!$E$89,IF(AND($I16="SBM",$I16="SBM"),'Point Schedule'!$E$91,IF(AND($I16="SBME",$I16="SBME"),'Point Schedule'!$E$92,IF(AND($I16="SBEE",$I16="SBEE"),'Point Schedule'!$E$89,0))))))))</f>
        <v>0</v>
      </c>
      <c r="R16" s="96">
        <f>IF(AND($J16="SHDN",$J16="SHDN"),'Point Schedule'!$F$85,IF(AND($J16="SHDNE",$J16="SHDNE"),'Point Schedule'!$F$86,IF(AND($J16="SHDA",$J16="SHDA"),'Point Schedule'!$F$87,IF(AND($J16="SHDAE",$J16="SHDAE"),'Point Schedule'!$F$88,IF(AND($J16="SHDE",$J16="SHDE"),'Point Schedule'!$F$89,IF(AND(J16="SHDM",$J16="SHDM"),'Point Schedule'!$F$91,IF(AND($J16="SHDME",$J16="SHDME"),'Point Schedule'!$F$92,IF(AND($J16="SHDEE",$J16="SHDEE"),'Point Schedule'!$F$89,0))))))))</f>
        <v>0</v>
      </c>
      <c r="S16" s="96">
        <f>IF(AND($K16="SND",$K16="SND"),'Point Schedule'!$G$85,0)</f>
        <v>0</v>
      </c>
      <c r="T16" s="96">
        <f>IF(AND($L16="SWN",$L16="SWN"),'Point Schedule'!$H$85,IF(AND($L16="SWNE",$L16="SWNE"),'Point Schedule'!$H$86,IF(AND($L16="SWA",$L16="SWA"),'Point Schedule'!$H$87,IF(AND($L16="SWAE",$L16="SWAE"),'Point Schedule'!$H$88,IF(AND($L16="SWE",$L16="SWE"),'Point Schedule'!$H$89,IF(AND($L16="SWM",$L16="SWM"),'Point Schedule'!$H$91,IF(AND($L16="SWME",$L16="SWME"),'Point Schedule'!$H$92,IF(AND($L16="SWEE",$L16="SWEE"),'Point Schedule'!$H$89,0))))))))</f>
        <v>0</v>
      </c>
      <c r="U16" s="761"/>
      <c r="V16" s="3"/>
      <c r="W16" s="3"/>
      <c r="X16" s="3"/>
      <c r="Y16" s="3"/>
      <c r="Z16" s="3"/>
      <c r="AA16" s="3"/>
      <c r="AB16" s="3"/>
      <c r="AC16" s="3"/>
      <c r="AD16" s="3"/>
    </row>
    <row r="17" spans="1:30" ht="20.149999999999999" customHeight="1" x14ac:dyDescent="0.6">
      <c r="A17" s="387"/>
      <c r="B17" s="204"/>
      <c r="C17" s="545"/>
      <c r="D17" s="547"/>
      <c r="E17" s="205"/>
      <c r="F17" s="205"/>
      <c r="G17" s="205"/>
      <c r="H17" s="205"/>
      <c r="I17" s="205"/>
      <c r="J17" s="206"/>
      <c r="K17" s="206"/>
      <c r="L17" s="206"/>
      <c r="M17" s="113">
        <f>IF($E17="Yes",'Point Schedule'!$B$93,0)</f>
        <v>0</v>
      </c>
      <c r="N17" s="96">
        <f>IF(AND($F17="SCN",$F17="SCN"),'Point Schedule'!$B$85,IF(AND($F17="SCNE",$F17="SCNE"),'Point Schedule'!$B$86,IF(AND($F17="SCA",$F17="SCA"),'Point Schedule'!$B$87,IF(AND($F17="SCAE",$F17="SCAE"),'Point Schedule'!$B$88,IF(AND($F17="SCE",$F17="SCE"),'Point Schedule'!$B$89,IF(AND($F17="SCM",$F17="SCM"),'Point Schedule'!$B$91,IF(AND($F17="SCME",$F17="SCME"),'Point Schedule'!$B$92,IF(AND($F17="SCEE",$F17="SCEE"),'Point Schedule'!$B$89,0))))))))</f>
        <v>0</v>
      </c>
      <c r="O17" s="96">
        <f>IF(AND($G17="SIN",$G17="SIN"),'Point Schedule'!$C$85,IF(AND($G17="SINE",$G17="SINE"),'Point Schedule'!$C$86,IF(AND($G17="SIA",$G17="SIA"),'Point Schedule'!$C$87,IF(AND($G17="SIAE",$G17="SIAE"),'Point Schedule'!$C$88,IF(AND($G17="SIE",$G17="SIE"),'Point Schedule'!$C$89,IF(AND($G17="SIM",$G17="SIM"),'Point Schedule'!$C$91,IF(AND($G17="SIME",$G17="SIME"),'Point Schedule'!$C$92,IF(AND($G17="SIEE",$G17="SIEE"),'Point Schedule'!$C$89,0))))))))</f>
        <v>0</v>
      </c>
      <c r="P17" s="96">
        <f>IF(AND($H17="SEN",$H17="SEN"),'Point Schedule'!$D$85,IF(AND($H17="SENE",$H17="SENE"),'Point Schedule'!$D$86,IF(AND($H17="SEA",$H17="SEA"),'Point Schedule'!$D$87,IF(AND($H17="SEAE",$H17="SEAE"),'Point Schedule'!$D$88,IF(AND($H17="SEE",$H17="SEE"),'Point Schedule'!$D$89,IF(AND($H17="SEM",$H17="SEM"),'Point Schedule'!$D$91,IF(AND($H17="SEME",$H17="SEME"),'Point Schedule'!$D$92,IF(AND($H17="SEEE",$H17="SEEE"),'Point Schedule'!$D$89,0))))))))</f>
        <v>0</v>
      </c>
      <c r="Q17" s="96">
        <f>IF(AND($I17="SBN",$I17="SBN"),'Point Schedule'!$E$85,IF(AND($I17="SBNE",$I17="SBNE"),'Point Schedule'!$E$86,IF(AND($I17="SBA",$I17="SBA"),'Point Schedule'!$E$87,IF(AND($I17="SBAE",$I17="SBAE"),'Point Schedule'!$E$88,IF(AND($I17="SBE",$I17="SBE"),'Point Schedule'!$E$89,IF(AND($I17="SBM",$I17="SBM"),'Point Schedule'!$E$91,IF(AND($I17="SBME",$I17="SBME"),'Point Schedule'!$E$92,IF(AND($I17="SBEE",$I17="SBEE"),'Point Schedule'!$E$89,0))))))))</f>
        <v>0</v>
      </c>
      <c r="R17" s="96">
        <f>IF(AND($J17="SHDN",$J17="SHDN"),'Point Schedule'!$F$85,IF(AND($J17="SHDNE",$J17="SHDNE"),'Point Schedule'!$F$86,IF(AND($J17="SHDA",$J17="SHDA"),'Point Schedule'!$F$87,IF(AND($J17="SHDAE",$J17="SHDAE"),'Point Schedule'!$F$88,IF(AND($J17="SHDE",$J17="SHDE"),'Point Schedule'!$F$89,IF(AND(J17="SHDM",$J17="SHDM"),'Point Schedule'!$F$91,IF(AND($J17="SHDME",$J17="SHDME"),'Point Schedule'!$F$92,IF(AND($J17="SHDEE",$J17="SHDEE"),'Point Schedule'!$F$89,0))))))))</f>
        <v>0</v>
      </c>
      <c r="S17" s="96">
        <f>IF(AND($K17="SND",$K17="SND"),'Point Schedule'!$G$85,0)</f>
        <v>0</v>
      </c>
      <c r="T17" s="96">
        <f>IF(AND($L17="SWN",$L17="SWN"),'Point Schedule'!$H$85,IF(AND($L17="SWNE",$L17="SWNE"),'Point Schedule'!$H$86,IF(AND($L17="SWA",$L17="SWA"),'Point Schedule'!$H$87,IF(AND($L17="SWAE",$L17="SWAE"),'Point Schedule'!$H$88,IF(AND($L17="SWE",$L17="SWE"),'Point Schedule'!$H$89,IF(AND($L17="SWM",$L17="SWM"),'Point Schedule'!$H$91,IF(AND($L17="SWME",$L17="SWME"),'Point Schedule'!$H$92,IF(AND($L17="SWEE",$L17="SWEE"),'Point Schedule'!$H$89,0))))))))</f>
        <v>0</v>
      </c>
      <c r="U17" s="761"/>
      <c r="V17" s="3"/>
      <c r="W17" s="3"/>
      <c r="X17" s="3"/>
      <c r="Y17" s="3"/>
      <c r="Z17" s="3"/>
      <c r="AA17" s="3"/>
      <c r="AB17" s="3"/>
      <c r="AC17" s="3"/>
      <c r="AD17" s="3"/>
    </row>
    <row r="18" spans="1:30" ht="20.149999999999999" customHeight="1" x14ac:dyDescent="0.6">
      <c r="A18" s="387"/>
      <c r="B18" s="204"/>
      <c r="C18" s="545"/>
      <c r="D18" s="547"/>
      <c r="E18" s="205"/>
      <c r="F18" s="205"/>
      <c r="G18" s="205"/>
      <c r="H18" s="205"/>
      <c r="I18" s="205"/>
      <c r="J18" s="206"/>
      <c r="K18" s="206"/>
      <c r="L18" s="206"/>
      <c r="M18" s="113">
        <f>IF($E18="Yes",'Point Schedule'!$B$93,0)</f>
        <v>0</v>
      </c>
      <c r="N18" s="96">
        <f>IF(AND($F18="SCN",$F18="SCN"),'Point Schedule'!$B$85,IF(AND($F18="SCNE",$F18="SCNE"),'Point Schedule'!$B$86,IF(AND($F18="SCA",$F18="SCA"),'Point Schedule'!$B$87,IF(AND($F18="SCAE",$F18="SCAE"),'Point Schedule'!$B$88,IF(AND($F18="SCE",$F18="SCE"),'Point Schedule'!$B$89,IF(AND($F18="SCM",$F18="SCM"),'Point Schedule'!$B$91,IF(AND($F18="SCME",$F18="SCME"),'Point Schedule'!$B$92,IF(AND($F18="SCEE",$F18="SCEE"),'Point Schedule'!$B$89,0))))))))</f>
        <v>0</v>
      </c>
      <c r="O18" s="96">
        <f>IF(AND($G18="SIN",$G18="SIN"),'Point Schedule'!$C$85,IF(AND($G18="SINE",$G18="SINE"),'Point Schedule'!$C$86,IF(AND($G18="SIA",$G18="SIA"),'Point Schedule'!$C$87,IF(AND($G18="SIAE",$G18="SIAE"),'Point Schedule'!$C$88,IF(AND($G18="SIE",$G18="SIE"),'Point Schedule'!$C$89,IF(AND($G18="SIM",$G18="SIM"),'Point Schedule'!$C$91,IF(AND($G18="SIME",$G18="SIME"),'Point Schedule'!$C$92,IF(AND($G18="SIEE",$G18="SIEE"),'Point Schedule'!$C$89,0))))))))</f>
        <v>0</v>
      </c>
      <c r="P18" s="96">
        <f>IF(AND($H18="SEN",$H18="SEN"),'Point Schedule'!$D$85,IF(AND($H18="SENE",$H18="SENE"),'Point Schedule'!$D$86,IF(AND($H18="SEA",$H18="SEA"),'Point Schedule'!$D$87,IF(AND($H18="SEAE",$H18="SEAE"),'Point Schedule'!$D$88,IF(AND($H18="SEE",$H18="SEE"),'Point Schedule'!$D$89,IF(AND($H18="SEM",$H18="SEM"),'Point Schedule'!$D$91,IF(AND($H18="SEME",$H18="SEME"),'Point Schedule'!$D$92,IF(AND($H18="SEEE",$H18="SEEE"),'Point Schedule'!$D$89,0))))))))</f>
        <v>0</v>
      </c>
      <c r="Q18" s="96">
        <f>IF(AND($I18="SBN",$I18="SBN"),'Point Schedule'!$E$85,IF(AND($I18="SBNE",$I18="SBNE"),'Point Schedule'!$E$86,IF(AND($I18="SBA",$I18="SBA"),'Point Schedule'!$E$87,IF(AND($I18="SBAE",$I18="SBAE"),'Point Schedule'!$E$88,IF(AND($I18="SBE",$I18="SBE"),'Point Schedule'!$E$89,IF(AND($I18="SBM",$I18="SBM"),'Point Schedule'!$E$91,IF(AND($I18="SBME",$I18="SBME"),'Point Schedule'!$E$92,IF(AND($I18="SBEE",$I18="SBEE"),'Point Schedule'!$E$89,0))))))))</f>
        <v>0</v>
      </c>
      <c r="R18" s="96">
        <f>IF(AND($J18="SHDN",$J18="SHDN"),'Point Schedule'!$F$85,IF(AND($J18="SHDNE",$J18="SHDNE"),'Point Schedule'!$F$86,IF(AND($J18="SHDA",$J18="SHDA"),'Point Schedule'!$F$87,IF(AND($J18="SHDAE",$J18="SHDAE"),'Point Schedule'!$F$88,IF(AND($J18="SHDE",$J18="SHDE"),'Point Schedule'!$F$89,IF(AND(J18="SHDM",$J18="SHDM"),'Point Schedule'!$F$91,IF(AND($J18="SHDME",$J18="SHDME"),'Point Schedule'!$F$92,IF(AND($J18="SHDEE",$J18="SHDEE"),'Point Schedule'!$F$89,0))))))))</f>
        <v>0</v>
      </c>
      <c r="S18" s="96">
        <f>IF(AND($K18="SND",$K18="SND"),'Point Schedule'!$G$85,0)</f>
        <v>0</v>
      </c>
      <c r="T18" s="96">
        <f>IF(AND($L18="SWN",$L18="SWN"),'Point Schedule'!$H$85,IF(AND($L18="SWNE",$L18="SWNE"),'Point Schedule'!$H$86,IF(AND($L18="SWA",$L18="SWA"),'Point Schedule'!$H$87,IF(AND($L18="SWAE",$L18="SWAE"),'Point Schedule'!$H$88,IF(AND($L18="SWE",$L18="SWE"),'Point Schedule'!$H$89,IF(AND($L18="SWM",$L18="SWM"),'Point Schedule'!$H$91,IF(AND($L18="SWME",$L18="SWME"),'Point Schedule'!$H$92,IF(AND($L18="SWEE",$L18="SWEE"),'Point Schedule'!$H$89,0))))))))</f>
        <v>0</v>
      </c>
      <c r="U18" s="761"/>
      <c r="V18" s="3"/>
      <c r="W18" s="3"/>
      <c r="X18" s="3"/>
      <c r="Y18" s="3"/>
      <c r="Z18" s="3"/>
      <c r="AA18" s="3"/>
      <c r="AB18" s="3"/>
      <c r="AC18" s="3"/>
      <c r="AD18" s="3"/>
    </row>
    <row r="19" spans="1:30" ht="20.149999999999999" customHeight="1" x14ac:dyDescent="0.6">
      <c r="A19" s="387"/>
      <c r="B19" s="204"/>
      <c r="C19" s="545"/>
      <c r="D19" s="547"/>
      <c r="E19" s="205"/>
      <c r="F19" s="205"/>
      <c r="G19" s="205"/>
      <c r="H19" s="205"/>
      <c r="I19" s="205"/>
      <c r="J19" s="206"/>
      <c r="K19" s="206"/>
      <c r="L19" s="206"/>
      <c r="M19" s="113">
        <f>IF($E19="Yes",'Point Schedule'!$B$93,0)</f>
        <v>0</v>
      </c>
      <c r="N19" s="96">
        <f>IF(AND($F19="SCN",$F19="SCN"),'Point Schedule'!$B$85,IF(AND($F19="SCNE",$F19="SCNE"),'Point Schedule'!$B$86,IF(AND($F19="SCA",$F19="SCA"),'Point Schedule'!$B$87,IF(AND($F19="SCAE",$F19="SCAE"),'Point Schedule'!$B$88,IF(AND($F19="SCE",$F19="SCE"),'Point Schedule'!$B$89,IF(AND($F19="SCM",$F19="SCM"),'Point Schedule'!$B$91,IF(AND($F19="SCME",$F19="SCME"),'Point Schedule'!$B$92,IF(AND($F19="SCEE",$F19="SCEE"),'Point Schedule'!$B$89,0))))))))</f>
        <v>0</v>
      </c>
      <c r="O19" s="96">
        <f>IF(AND($G19="SIN",$G19="SIN"),'Point Schedule'!$C$85,IF(AND($G19="SINE",$G19="SINE"),'Point Schedule'!$C$86,IF(AND($G19="SIA",$G19="SIA"),'Point Schedule'!$C$87,IF(AND($G19="SIAE",$G19="SIAE"),'Point Schedule'!$C$88,IF(AND($G19="SIE",$G19="SIE"),'Point Schedule'!$C$89,IF(AND($G19="SIM",$G19="SIM"),'Point Schedule'!$C$91,IF(AND($G19="SIME",$G19="SIME"),'Point Schedule'!$C$92,IF(AND($G19="SIEE",$G19="SIEE"),'Point Schedule'!$C$89,0))))))))</f>
        <v>0</v>
      </c>
      <c r="P19" s="96">
        <f>IF(AND($H19="SEN",$H19="SEN"),'Point Schedule'!$D$85,IF(AND($H19="SENE",$H19="SENE"),'Point Schedule'!$D$86,IF(AND($H19="SEA",$H19="SEA"),'Point Schedule'!$D$87,IF(AND($H19="SEAE",$H19="SEAE"),'Point Schedule'!$D$88,IF(AND($H19="SEE",$H19="SEE"),'Point Schedule'!$D$89,IF(AND($H19="SEM",$H19="SEM"),'Point Schedule'!$D$91,IF(AND($H19="SEME",$H19="SEME"),'Point Schedule'!$D$92,IF(AND($H19="SEEE",$H19="SEEE"),'Point Schedule'!$D$89,0))))))))</f>
        <v>0</v>
      </c>
      <c r="Q19" s="96">
        <f>IF(AND($I19="SBN",$I19="SBN"),'Point Schedule'!$E$85,IF(AND($I19="SBNE",$I19="SBNE"),'Point Schedule'!$E$86,IF(AND($I19="SBA",$I19="SBA"),'Point Schedule'!$E$87,IF(AND($I19="SBAE",$I19="SBAE"),'Point Schedule'!$E$88,IF(AND($I19="SBE",$I19="SBE"),'Point Schedule'!$E$89,IF(AND($I19="SBM",$I19="SBM"),'Point Schedule'!$E$91,IF(AND($I19="SBME",$I19="SBME"),'Point Schedule'!$E$92,IF(AND($I19="SBEE",$I19="SBEE"),'Point Schedule'!$E$89,0))))))))</f>
        <v>0</v>
      </c>
      <c r="R19" s="96">
        <f>IF(AND($J19="SHDN",$J19="SHDN"),'Point Schedule'!$F$85,IF(AND($J19="SHDNE",$J19="SHDNE"),'Point Schedule'!$F$86,IF(AND($J19="SHDA",$J19="SHDA"),'Point Schedule'!$F$87,IF(AND($J19="SHDAE",$J19="SHDAE"),'Point Schedule'!$F$88,IF(AND($J19="SHDE",$J19="SHDE"),'Point Schedule'!$F$89,IF(AND(J19="SHDM",$J19="SHDM"),'Point Schedule'!$F$91,IF(AND($J19="SHDME",$J19="SHDME"),'Point Schedule'!$F$92,IF(AND($J19="SHDEE",$J19="SHDEE"),'Point Schedule'!$F$89,0))))))))</f>
        <v>0</v>
      </c>
      <c r="S19" s="96">
        <f>IF(AND($K19="SND",$K19="SND"),'Point Schedule'!$G$85,0)</f>
        <v>0</v>
      </c>
      <c r="T19" s="96">
        <f>IF(AND($L19="SWN",$L19="SWN"),'Point Schedule'!$H$85,IF(AND($L19="SWNE",$L19="SWNE"),'Point Schedule'!$H$86,IF(AND($L19="SWA",$L19="SWA"),'Point Schedule'!$H$87,IF(AND($L19="SWAE",$L19="SWAE"),'Point Schedule'!$H$88,IF(AND($L19="SWE",$L19="SWE"),'Point Schedule'!$H$89,IF(AND($L19="SWM",$L19="SWM"),'Point Schedule'!$H$91,IF(AND($L19="SWME",$L19="SWME"),'Point Schedule'!$H$92,IF(AND($L19="SWEE",$L19="SWEE"),'Point Schedule'!$H$89,0))))))))</f>
        <v>0</v>
      </c>
      <c r="U19" s="761"/>
      <c r="V19" s="3"/>
      <c r="W19" s="3"/>
      <c r="X19" s="3"/>
      <c r="Y19" s="3"/>
      <c r="Z19" s="3"/>
      <c r="AA19" s="3"/>
      <c r="AB19" s="3"/>
      <c r="AC19" s="3"/>
      <c r="AD19" s="3"/>
    </row>
    <row r="20" spans="1:30" ht="20.149999999999999" customHeight="1" x14ac:dyDescent="0.6">
      <c r="A20" s="387"/>
      <c r="B20" s="204"/>
      <c r="C20" s="545"/>
      <c r="D20" s="547"/>
      <c r="E20" s="205"/>
      <c r="F20" s="205"/>
      <c r="G20" s="205"/>
      <c r="H20" s="205"/>
      <c r="I20" s="205"/>
      <c r="J20" s="206"/>
      <c r="K20" s="206"/>
      <c r="L20" s="206"/>
      <c r="M20" s="113">
        <f>IF($E20="Yes",'Point Schedule'!$B$93,0)</f>
        <v>0</v>
      </c>
      <c r="N20" s="96">
        <f>IF(AND($F20="SCN",$F20="SCN"),'Point Schedule'!$B$85,IF(AND($F20="SCNE",$F20="SCNE"),'Point Schedule'!$B$86,IF(AND($F20="SCA",$F20="SCA"),'Point Schedule'!$B$87,IF(AND($F20="SCAE",$F20="SCAE"),'Point Schedule'!$B$88,IF(AND($F20="SCE",$F20="SCE"),'Point Schedule'!$B$89,IF(AND($F20="SCM",$F20="SCM"),'Point Schedule'!$B$91,IF(AND($F20="SCME",$F20="SCME"),'Point Schedule'!$B$92,IF(AND($F20="SCEE",$F20="SCEE"),'Point Schedule'!$B$89,0))))))))</f>
        <v>0</v>
      </c>
      <c r="O20" s="96">
        <f>IF(AND($G20="SIN",$G20="SIN"),'Point Schedule'!$C$85,IF(AND($G20="SINE",$G20="SINE"),'Point Schedule'!$C$86,IF(AND($G20="SIA",$G20="SIA"),'Point Schedule'!$C$87,IF(AND($G20="SIAE",$G20="SIAE"),'Point Schedule'!$C$88,IF(AND($G20="SIE",$G20="SIE"),'Point Schedule'!$C$89,IF(AND($G20="SIM",$G20="SIM"),'Point Schedule'!$C$91,IF(AND($G20="SIME",$G20="SIME"),'Point Schedule'!$C$92,IF(AND($G20="SIEE",$G20="SIEE"),'Point Schedule'!$C$89,0))))))))</f>
        <v>0</v>
      </c>
      <c r="P20" s="96">
        <f>IF(AND($H20="SEN",$H20="SEN"),'Point Schedule'!$D$85,IF(AND($H20="SENE",$H20="SENE"),'Point Schedule'!$D$86,IF(AND($H20="SEA",$H20="SEA"),'Point Schedule'!$D$87,IF(AND($H20="SEAE",$H20="SEAE"),'Point Schedule'!$D$88,IF(AND($H20="SEE",$H20="SEE"),'Point Schedule'!$D$89,IF(AND($H20="SEM",$H20="SEM"),'Point Schedule'!$D$91,IF(AND($H20="SEME",$H20="SEME"),'Point Schedule'!$D$92,IF(AND($H20="SEEE",$H20="SEEE"),'Point Schedule'!$D$89,0))))))))</f>
        <v>0</v>
      </c>
      <c r="Q20" s="96">
        <f>IF(AND($I20="SBN",$I20="SBN"),'Point Schedule'!$E$85,IF(AND($I20="SBNE",$I20="SBNE"),'Point Schedule'!$E$86,IF(AND($I20="SBA",$I20="SBA"),'Point Schedule'!$E$87,IF(AND($I20="SBAE",$I20="SBAE"),'Point Schedule'!$E$88,IF(AND($I20="SBE",$I20="SBE"),'Point Schedule'!$E$89,IF(AND($I20="SBM",$I20="SBM"),'Point Schedule'!$E$91,IF(AND($I20="SBME",$I20="SBME"),'Point Schedule'!$E$92,IF(AND($I20="SBEE",$I20="SBEE"),'Point Schedule'!$E$89,0))))))))</f>
        <v>0</v>
      </c>
      <c r="R20" s="96">
        <f>IF(AND($J20="SHDN",$J20="SHDN"),'Point Schedule'!$F$85,IF(AND($J20="SHDNE",$J20="SHDNE"),'Point Schedule'!$F$86,IF(AND($J20="SHDA",$J20="SHDA"),'Point Schedule'!$F$87,IF(AND($J20="SHDAE",$J20="SHDAE"),'Point Schedule'!$F$88,IF(AND($J20="SHDE",$J20="SHDE"),'Point Schedule'!$F$89,IF(AND(J20="SHDM",$J20="SHDM"),'Point Schedule'!$F$91,IF(AND($J20="SHDME",$J20="SHDME"),'Point Schedule'!$F$92,IF(AND($J20="SHDEE",$J20="SHDEE"),'Point Schedule'!$F$89,0))))))))</f>
        <v>0</v>
      </c>
      <c r="S20" s="96">
        <f>IF(AND($K20="SND",$K20="SND"),'Point Schedule'!$G$85,0)</f>
        <v>0</v>
      </c>
      <c r="T20" s="96">
        <f>IF(AND($L20="SWN",$L20="SWN"),'Point Schedule'!$H$85,IF(AND($L20="SWNE",$L20="SWNE"),'Point Schedule'!$H$86,IF(AND($L20="SWA",$L20="SWA"),'Point Schedule'!$H$87,IF(AND($L20="SWAE",$L20="SWAE"),'Point Schedule'!$H$88,IF(AND($L20="SWE",$L20="SWE"),'Point Schedule'!$H$89,IF(AND($L20="SWM",$L20="SWM"),'Point Schedule'!$H$91,IF(AND($L20="SWME",$L20="SWME"),'Point Schedule'!$H$92,IF(AND($L20="SWEE",$L20="SWEE"),'Point Schedule'!$H$89,0))))))))</f>
        <v>0</v>
      </c>
      <c r="U20" s="761"/>
      <c r="V20" s="3"/>
      <c r="W20" s="3"/>
      <c r="X20" s="3"/>
      <c r="Y20" s="3"/>
      <c r="Z20" s="3"/>
      <c r="AA20" s="3"/>
      <c r="AB20" s="3"/>
      <c r="AC20" s="3"/>
      <c r="AD20" s="3"/>
    </row>
    <row r="21" spans="1:30" ht="20.149999999999999" customHeight="1" x14ac:dyDescent="0.6">
      <c r="A21" s="387"/>
      <c r="B21" s="204"/>
      <c r="C21" s="545"/>
      <c r="D21" s="547"/>
      <c r="E21" s="205"/>
      <c r="F21" s="205"/>
      <c r="G21" s="205"/>
      <c r="H21" s="205"/>
      <c r="I21" s="205"/>
      <c r="J21" s="206"/>
      <c r="K21" s="206"/>
      <c r="L21" s="206"/>
      <c r="M21" s="113">
        <f>IF($E21="Yes",'Point Schedule'!$B$93,0)</f>
        <v>0</v>
      </c>
      <c r="N21" s="96">
        <f>IF(AND($F21="SCN",$F21="SCN"),'Point Schedule'!$B$85,IF(AND($F21="SCNE",$F21="SCNE"),'Point Schedule'!$B$86,IF(AND($F21="SCA",$F21="SCA"),'Point Schedule'!$B$87,IF(AND($F21="SCAE",$F21="SCAE"),'Point Schedule'!$B$88,IF(AND($F21="SCE",$F21="SCE"),'Point Schedule'!$B$89,IF(AND($F21="SCM",$F21="SCM"),'Point Schedule'!$B$91,IF(AND($F21="SCME",$F21="SCME"),'Point Schedule'!$B$92,IF(AND($F21="SCEE",$F21="SCEE"),'Point Schedule'!$B$89,0))))))))</f>
        <v>0</v>
      </c>
      <c r="O21" s="96">
        <f>IF(AND($G21="SIN",$G21="SIN"),'Point Schedule'!$C$85,IF(AND($G21="SINE",$G21="SINE"),'Point Schedule'!$C$86,IF(AND($G21="SIA",$G21="SIA"),'Point Schedule'!$C$87,IF(AND($G21="SIAE",$G21="SIAE"),'Point Schedule'!$C$88,IF(AND($G21="SIE",$G21="SIE"),'Point Schedule'!$C$89,IF(AND($G21="SIM",$G21="SIM"),'Point Schedule'!$C$91,IF(AND($G21="SIME",$G21="SIME"),'Point Schedule'!$C$92,IF(AND($G21="SIEE",$G21="SIEE"),'Point Schedule'!$C$89,0))))))))</f>
        <v>0</v>
      </c>
      <c r="P21" s="96">
        <f>IF(AND($H21="SEN",$H21="SEN"),'Point Schedule'!$D$85,IF(AND($H21="SENE",$H21="SENE"),'Point Schedule'!$D$86,IF(AND($H21="SEA",$H21="SEA"),'Point Schedule'!$D$87,IF(AND($H21="SEAE",$H21="SEAE"),'Point Schedule'!$D$88,IF(AND($H21="SEE",$H21="SEE"),'Point Schedule'!$D$89,IF(AND($H21="SEM",$H21="SEM"),'Point Schedule'!$D$91,IF(AND($H21="SEME",$H21="SEME"),'Point Schedule'!$D$92,IF(AND($H21="SEEE",$H21="SEEE"),'Point Schedule'!$D$89,0))))))))</f>
        <v>0</v>
      </c>
      <c r="Q21" s="96">
        <f>IF(AND($I21="SBN",$I21="SBN"),'Point Schedule'!$E$85,IF(AND($I21="SBNE",$I21="SBNE"),'Point Schedule'!$E$86,IF(AND($I21="SBA",$I21="SBA"),'Point Schedule'!$E$87,IF(AND($I21="SBAE",$I21="SBAE"),'Point Schedule'!$E$88,IF(AND($I21="SBE",$I21="SBE"),'Point Schedule'!$E$89,IF(AND($I21="SBM",$I21="SBM"),'Point Schedule'!$E$91,IF(AND($I21="SBME",$I21="SBME"),'Point Schedule'!$E$92,IF(AND($I21="SBEE",$I21="SBEE"),'Point Schedule'!$E$89,0))))))))</f>
        <v>0</v>
      </c>
      <c r="R21" s="96">
        <f>IF(AND($J21="SHDN",$J21="SHDN"),'Point Schedule'!$F$85,IF(AND($J21="SHDNE",$J21="SHDNE"),'Point Schedule'!$F$86,IF(AND($J21="SHDA",$J21="SHDA"),'Point Schedule'!$F$87,IF(AND($J21="SHDAE",$J21="SHDAE"),'Point Schedule'!$F$88,IF(AND($J21="SHDE",$J21="SHDE"),'Point Schedule'!$F$89,IF(AND(J21="SHDM",$J21="SHDM"),'Point Schedule'!$F$91,IF(AND($J21="SHDME",$J21="SHDME"),'Point Schedule'!$F$92,IF(AND($J21="SHDEE",$J21="SHDEE"),'Point Schedule'!$F$89,0))))))))</f>
        <v>0</v>
      </c>
      <c r="S21" s="96">
        <f>IF(AND($K21="SND",$K21="SND"),'Point Schedule'!$G$85,0)</f>
        <v>0</v>
      </c>
      <c r="T21" s="96">
        <f>IF(AND($L21="SWN",$L21="SWN"),'Point Schedule'!$H$85,IF(AND($L21="SWNE",$L21="SWNE"),'Point Schedule'!$H$86,IF(AND($L21="SWA",$L21="SWA"),'Point Schedule'!$H$87,IF(AND($L21="SWAE",$L21="SWAE"),'Point Schedule'!$H$88,IF(AND($L21="SWE",$L21="SWE"),'Point Schedule'!$H$89,IF(AND($L21="SWM",$L21="SWM"),'Point Schedule'!$H$91,IF(AND($L21="SWME",$L21="SWME"),'Point Schedule'!$H$92,IF(AND($L21="SWEE",$L21="SWEE"),'Point Schedule'!$H$89,0))))))))</f>
        <v>0</v>
      </c>
      <c r="U21" s="761"/>
      <c r="V21" s="3"/>
      <c r="W21" s="3"/>
      <c r="X21" s="3"/>
      <c r="Y21" s="3"/>
      <c r="Z21" s="3"/>
      <c r="AA21" s="3"/>
      <c r="AB21" s="3"/>
      <c r="AC21" s="3"/>
      <c r="AD21" s="3"/>
    </row>
    <row r="22" spans="1:30" ht="20.149999999999999" customHeight="1" x14ac:dyDescent="0.6">
      <c r="A22" s="387"/>
      <c r="B22" s="204"/>
      <c r="C22" s="545"/>
      <c r="D22" s="547"/>
      <c r="E22" s="205"/>
      <c r="F22" s="205"/>
      <c r="G22" s="205"/>
      <c r="H22" s="205"/>
      <c r="I22" s="205"/>
      <c r="J22" s="206"/>
      <c r="K22" s="206"/>
      <c r="L22" s="206"/>
      <c r="M22" s="113">
        <f>IF($E22="Yes",'Point Schedule'!$B$93,0)</f>
        <v>0</v>
      </c>
      <c r="N22" s="96">
        <f>IF(AND($F22="SCN",$F22="SCN"),'Point Schedule'!$B$85,IF(AND($F22="SCNE",$F22="SCNE"),'Point Schedule'!$B$86,IF(AND($F22="SCA",$F22="SCA"),'Point Schedule'!$B$87,IF(AND($F22="SCAE",$F22="SCAE"),'Point Schedule'!$B$88,IF(AND($F22="SCE",$F22="SCE"),'Point Schedule'!$B$89,IF(AND($F22="SCM",$F22="SCM"),'Point Schedule'!$B$91,IF(AND($F22="SCME",$F22="SCME"),'Point Schedule'!$B$92,IF(AND($F22="SCEE",$F22="SCEE"),'Point Schedule'!$B$89,0))))))))</f>
        <v>0</v>
      </c>
      <c r="O22" s="96">
        <f>IF(AND($G22="SIN",$G22="SIN"),'Point Schedule'!$C$85,IF(AND($G22="SINE",$G22="SINE"),'Point Schedule'!$C$86,IF(AND($G22="SIA",$G22="SIA"),'Point Schedule'!$C$87,IF(AND($G22="SIAE",$G22="SIAE"),'Point Schedule'!$C$88,IF(AND($G22="SIE",$G22="SIE"),'Point Schedule'!$C$89,IF(AND($G22="SIM",$G22="SIM"),'Point Schedule'!$C$91,IF(AND($G22="SIME",$G22="SIME"),'Point Schedule'!$C$92,IF(AND($G22="SIEE",$G22="SIEE"),'Point Schedule'!$C$89,0))))))))</f>
        <v>0</v>
      </c>
      <c r="P22" s="96">
        <f>IF(AND($H22="SEN",$H22="SEN"),'Point Schedule'!$D$85,IF(AND($H22="SENE",$H22="SENE"),'Point Schedule'!$D$86,IF(AND($H22="SEA",$H22="SEA"),'Point Schedule'!$D$87,IF(AND($H22="SEAE",$H22="SEAE"),'Point Schedule'!$D$88,IF(AND($H22="SEE",$H22="SEE"),'Point Schedule'!$D$89,IF(AND($H22="SEM",$H22="SEM"),'Point Schedule'!$D$91,IF(AND($H22="SEME",$H22="SEME"),'Point Schedule'!$D$92,IF(AND($H22="SEEE",$H22="SEEE"),'Point Schedule'!$D$89,0))))))))</f>
        <v>0</v>
      </c>
      <c r="Q22" s="96">
        <f>IF(AND($I22="SBN",$I22="SBN"),'Point Schedule'!$E$85,IF(AND($I22="SBNE",$I22="SBNE"),'Point Schedule'!$E$86,IF(AND($I22="SBA",$I22="SBA"),'Point Schedule'!$E$87,IF(AND($I22="SBAE",$I22="SBAE"),'Point Schedule'!$E$88,IF(AND($I22="SBE",$I22="SBE"),'Point Schedule'!$E$89,IF(AND($I22="SBM",$I22="SBM"),'Point Schedule'!$E$91,IF(AND($I22="SBME",$I22="SBME"),'Point Schedule'!$E$92,IF(AND($I22="SBEE",$I22="SBEE"),'Point Schedule'!$E$89,0))))))))</f>
        <v>0</v>
      </c>
      <c r="R22" s="96">
        <f>IF(AND($J22="SHDN",$J22="SHDN"),'Point Schedule'!$F$85,IF(AND($J22="SHDNE",$J22="SHDNE"),'Point Schedule'!$F$86,IF(AND($J22="SHDA",$J22="SHDA"),'Point Schedule'!$F$87,IF(AND($J22="SHDAE",$J22="SHDAE"),'Point Schedule'!$F$88,IF(AND($J22="SHDE",$J22="SHDE"),'Point Schedule'!$F$89,IF(AND(J22="SHDM",$J22="SHDM"),'Point Schedule'!$F$91,IF(AND($J22="SHDME",$J22="SHDME"),'Point Schedule'!$F$92,IF(AND($J22="SHDEE",$J22="SHDEE"),'Point Schedule'!$F$89,0))))))))</f>
        <v>0</v>
      </c>
      <c r="S22" s="96">
        <f>IF(AND($K22="SND",$K22="SND"),'Point Schedule'!$G$85,0)</f>
        <v>0</v>
      </c>
      <c r="T22" s="96">
        <f>IF(AND($L22="SWN",$L22="SWN"),'Point Schedule'!$H$85,IF(AND($L22="SWNE",$L22="SWNE"),'Point Schedule'!$H$86,IF(AND($L22="SWA",$L22="SWA"),'Point Schedule'!$H$87,IF(AND($L22="SWAE",$L22="SWAE"),'Point Schedule'!$H$88,IF(AND($L22="SWE",$L22="SWE"),'Point Schedule'!$H$89,IF(AND($L22="SWM",$L22="SWM"),'Point Schedule'!$H$91,IF(AND($L22="SWME",$L22="SWME"),'Point Schedule'!$H$92,IF(AND($L22="SWEE",$L22="SWEE"),'Point Schedule'!$H$89,0))))))))</f>
        <v>0</v>
      </c>
      <c r="U22" s="761"/>
      <c r="V22" s="3"/>
      <c r="W22" s="3"/>
      <c r="X22" s="3"/>
      <c r="Y22" s="3"/>
      <c r="Z22" s="3"/>
      <c r="AA22" s="3"/>
      <c r="AB22" s="3"/>
      <c r="AC22" s="3"/>
      <c r="AD22" s="3"/>
    </row>
    <row r="23" spans="1:30" ht="20.149999999999999" customHeight="1" x14ac:dyDescent="0.6">
      <c r="A23" s="387"/>
      <c r="B23" s="204"/>
      <c r="C23" s="545"/>
      <c r="D23" s="547"/>
      <c r="E23" s="205"/>
      <c r="F23" s="205"/>
      <c r="G23" s="205"/>
      <c r="H23" s="205"/>
      <c r="I23" s="205"/>
      <c r="J23" s="206"/>
      <c r="K23" s="206"/>
      <c r="L23" s="206"/>
      <c r="M23" s="113">
        <f>IF($E23="Yes",'Point Schedule'!$B$93,0)</f>
        <v>0</v>
      </c>
      <c r="N23" s="96">
        <f>IF(AND($F23="SCN",$F23="SCN"),'Point Schedule'!$B$85,IF(AND($F23="SCNE",$F23="SCNE"),'Point Schedule'!$B$86,IF(AND($F23="SCA",$F23="SCA"),'Point Schedule'!$B$87,IF(AND($F23="SCAE",$F23="SCAE"),'Point Schedule'!$B$88,IF(AND($F23="SCE",$F23="SCE"),'Point Schedule'!$B$89,IF(AND($F23="SCM",$F23="SCM"),'Point Schedule'!$B$91,IF(AND($F23="SCME",$F23="SCME"),'Point Schedule'!$B$92,IF(AND($F23="SCEE",$F23="SCEE"),'Point Schedule'!$B$89,0))))))))</f>
        <v>0</v>
      </c>
      <c r="O23" s="96">
        <f>IF(AND($G23="SIN",$G23="SIN"),'Point Schedule'!$C$85,IF(AND($G23="SINE",$G23="SINE"),'Point Schedule'!$C$86,IF(AND($G23="SIA",$G23="SIA"),'Point Schedule'!$C$87,IF(AND($G23="SIAE",$G23="SIAE"),'Point Schedule'!$C$88,IF(AND($G23="SIE",$G23="SIE"),'Point Schedule'!$C$89,IF(AND($G23="SIM",$G23="SIM"),'Point Schedule'!$C$91,IF(AND($G23="SIME",$G23="SIME"),'Point Schedule'!$C$92,IF(AND($G23="SIEE",$G23="SIEE"),'Point Schedule'!$C$89,0))))))))</f>
        <v>0</v>
      </c>
      <c r="P23" s="96">
        <f>IF(AND($H23="SEN",$H23="SEN"),'Point Schedule'!$D$85,IF(AND($H23="SENE",$H23="SENE"),'Point Schedule'!$D$86,IF(AND($H23="SEA",$H23="SEA"),'Point Schedule'!$D$87,IF(AND($H23="SEAE",$H23="SEAE"),'Point Schedule'!$D$88,IF(AND($H23="SEE",$H23="SEE"),'Point Schedule'!$D$89,IF(AND($H23="SEM",$H23="SEM"),'Point Schedule'!$D$91,IF(AND($H23="SEME",$H23="SEME"),'Point Schedule'!$D$92,IF(AND($H23="SEEE",$H23="SEEE"),'Point Schedule'!$D$89,0))))))))</f>
        <v>0</v>
      </c>
      <c r="Q23" s="96">
        <f>IF(AND($I23="SBN",$I23="SBN"),'Point Schedule'!$E$85,IF(AND($I23="SBNE",$I23="SBNE"),'Point Schedule'!$E$86,IF(AND($I23="SBA",$I23="SBA"),'Point Schedule'!$E$87,IF(AND($I23="SBAE",$I23="SBAE"),'Point Schedule'!$E$88,IF(AND($I23="SBE",$I23="SBE"),'Point Schedule'!$E$89,IF(AND($I23="SBM",$I23="SBM"),'Point Schedule'!$E$91,IF(AND($I23="SBME",$I23="SBME"),'Point Schedule'!$E$92,IF(AND($I23="SBEE",$I23="SBEE"),'Point Schedule'!$E$89,0))))))))</f>
        <v>0</v>
      </c>
      <c r="R23" s="96">
        <f>IF(AND($J23="SHDN",$J23="SHDN"),'Point Schedule'!$F$85,IF(AND($J23="SHDNE",$J23="SHDNE"),'Point Schedule'!$F$86,IF(AND($J23="SHDA",$J23="SHDA"),'Point Schedule'!$F$87,IF(AND($J23="SHDAE",$J23="SHDAE"),'Point Schedule'!$F$88,IF(AND($J23="SHDE",$J23="SHDE"),'Point Schedule'!$F$89,IF(AND(J23="SHDM",$J23="SHDM"),'Point Schedule'!$F$91,IF(AND($J23="SHDME",$J23="SHDME"),'Point Schedule'!$F$92,IF(AND($J23="SHDEE",$J23="SHDEE"),'Point Schedule'!$F$89,0))))))))</f>
        <v>0</v>
      </c>
      <c r="S23" s="96">
        <f>IF(AND($K23="SND",$K23="SND"),'Point Schedule'!$G$85,0)</f>
        <v>0</v>
      </c>
      <c r="T23" s="96">
        <f>IF(AND($L23="SWN",$L23="SWN"),'Point Schedule'!$H$85,IF(AND($L23="SWNE",$L23="SWNE"),'Point Schedule'!$H$86,IF(AND($L23="SWA",$L23="SWA"),'Point Schedule'!$H$87,IF(AND($L23="SWAE",$L23="SWAE"),'Point Schedule'!$H$88,IF(AND($L23="SWE",$L23="SWE"),'Point Schedule'!$H$89,IF(AND($L23="SWM",$L23="SWM"),'Point Schedule'!$H$91,IF(AND($L23="SWME",$L23="SWME"),'Point Schedule'!$H$92,IF(AND($L23="SWEE",$L23="SWEE"),'Point Schedule'!$H$89,0))))))))</f>
        <v>0</v>
      </c>
      <c r="U23" s="761"/>
      <c r="V23" s="3"/>
      <c r="W23" s="3"/>
      <c r="X23" s="3"/>
      <c r="Y23" s="3"/>
      <c r="Z23" s="3"/>
      <c r="AA23" s="3"/>
      <c r="AB23" s="3"/>
      <c r="AC23" s="3"/>
      <c r="AD23" s="3"/>
    </row>
    <row r="24" spans="1:30" ht="20.149999999999999" customHeight="1" x14ac:dyDescent="0.6">
      <c r="A24" s="387"/>
      <c r="B24" s="204"/>
      <c r="C24" s="545"/>
      <c r="D24" s="547"/>
      <c r="E24" s="205"/>
      <c r="F24" s="205"/>
      <c r="G24" s="205"/>
      <c r="H24" s="205"/>
      <c r="I24" s="205"/>
      <c r="J24" s="206"/>
      <c r="K24" s="206"/>
      <c r="L24" s="206"/>
      <c r="M24" s="113">
        <f>IF($E24="Yes",'Point Schedule'!$B$93,0)</f>
        <v>0</v>
      </c>
      <c r="N24" s="96">
        <f>IF(AND($F24="SCN",$F24="SCN"),'Point Schedule'!$B$85,IF(AND($F24="SCNE",$F24="SCNE"),'Point Schedule'!$B$86,IF(AND($F24="SCA",$F24="SCA"),'Point Schedule'!$B$87,IF(AND($F24="SCAE",$F24="SCAE"),'Point Schedule'!$B$88,IF(AND($F24="SCE",$F24="SCE"),'Point Schedule'!$B$89,IF(AND($F24="SCM",$F24="SCM"),'Point Schedule'!$B$91,IF(AND($F24="SCME",$F24="SCME"),'Point Schedule'!$B$92,IF(AND($F24="SCEE",$F24="SCEE"),'Point Schedule'!$B$89,0))))))))</f>
        <v>0</v>
      </c>
      <c r="O24" s="96">
        <f>IF(AND($G24="SIN",$G24="SIN"),'Point Schedule'!$C$85,IF(AND($G24="SINE",$G24="SINE"),'Point Schedule'!$C$86,IF(AND($G24="SIA",$G24="SIA"),'Point Schedule'!$C$87,IF(AND($G24="SIAE",$G24="SIAE"),'Point Schedule'!$C$88,IF(AND($G24="SIE",$G24="SIE"),'Point Schedule'!$C$89,IF(AND($G24="SIM",$G24="SIM"),'Point Schedule'!$C$91,IF(AND($G24="SIME",$G24="SIME"),'Point Schedule'!$C$92,IF(AND($G24="SIEE",$G24="SIEE"),'Point Schedule'!$C$89,0))))))))</f>
        <v>0</v>
      </c>
      <c r="P24" s="96">
        <f>IF(AND($H24="SEN",$H24="SEN"),'Point Schedule'!$D$85,IF(AND($H24="SENE",$H24="SENE"),'Point Schedule'!$D$86,IF(AND($H24="SEA",$H24="SEA"),'Point Schedule'!$D$87,IF(AND($H24="SEAE",$H24="SEAE"),'Point Schedule'!$D$88,IF(AND($H24="SEE",$H24="SEE"),'Point Schedule'!$D$89,IF(AND($H24="SEM",$H24="SEM"),'Point Schedule'!$D$91,IF(AND($H24="SEME",$H24="SEME"),'Point Schedule'!$D$92,IF(AND($H24="SEEE",$H24="SEEE"),'Point Schedule'!$D$89,0))))))))</f>
        <v>0</v>
      </c>
      <c r="Q24" s="96">
        <f>IF(AND($I24="SBN",$I24="SBN"),'Point Schedule'!$E$85,IF(AND($I24="SBNE",$I24="SBNE"),'Point Schedule'!$E$86,IF(AND($I24="SBA",$I24="SBA"),'Point Schedule'!$E$87,IF(AND($I24="SBAE",$I24="SBAE"),'Point Schedule'!$E$88,IF(AND($I24="SBE",$I24="SBE"),'Point Schedule'!$E$89,IF(AND($I24="SBM",$I24="SBM"),'Point Schedule'!$E$91,IF(AND($I24="SBME",$I24="SBME"),'Point Schedule'!$E$92,IF(AND($I24="SBEE",$I24="SBEE"),'Point Schedule'!$E$89,0))))))))</f>
        <v>0</v>
      </c>
      <c r="R24" s="96">
        <f>IF(AND($J24="SHDN",$J24="SHDN"),'Point Schedule'!$F$85,IF(AND($J24="SHDNE",$J24="SHDNE"),'Point Schedule'!$F$86,IF(AND($J24="SHDA",$J24="SHDA"),'Point Schedule'!$F$87,IF(AND($J24="SHDAE",$J24="SHDAE"),'Point Schedule'!$F$88,IF(AND($J24="SHDE",$J24="SHDE"),'Point Schedule'!$F$89,IF(AND(J24="SHDM",$J24="SHDM"),'Point Schedule'!$F$91,IF(AND($J24="SHDME",$J24="SHDME"),'Point Schedule'!$F$92,IF(AND($J24="SHDEE",$J24="SHDEE"),'Point Schedule'!$F$89,0))))))))</f>
        <v>0</v>
      </c>
      <c r="S24" s="96">
        <f>IF(AND($K24="SND",$K24="SND"),'Point Schedule'!$G$85,0)</f>
        <v>0</v>
      </c>
      <c r="T24" s="96">
        <f>IF(AND($L24="SWN",$L24="SWN"),'Point Schedule'!$H$85,IF(AND($L24="SWNE",$L24="SWNE"),'Point Schedule'!$H$86,IF(AND($L24="SWA",$L24="SWA"),'Point Schedule'!$H$87,IF(AND($L24="SWAE",$L24="SWAE"),'Point Schedule'!$H$88,IF(AND($L24="SWE",$L24="SWE"),'Point Schedule'!$H$89,IF(AND($L24="SWM",$L24="SWM"),'Point Schedule'!$H$91,IF(AND($L24="SWME",$L24="SWME"),'Point Schedule'!$H$92,IF(AND($L24="SWEE",$L24="SWEE"),'Point Schedule'!$H$89,0))))))))</f>
        <v>0</v>
      </c>
      <c r="U24" s="761"/>
      <c r="V24" s="3"/>
      <c r="W24" s="3"/>
      <c r="X24" s="3"/>
      <c r="Y24" s="3"/>
      <c r="Z24" s="3"/>
      <c r="AA24" s="3"/>
      <c r="AB24" s="3"/>
      <c r="AC24" s="3"/>
      <c r="AD24" s="3"/>
    </row>
    <row r="25" spans="1:30" ht="20.149999999999999" customHeight="1" x14ac:dyDescent="0.6">
      <c r="A25" s="387"/>
      <c r="B25" s="204"/>
      <c r="C25" s="545"/>
      <c r="D25" s="547"/>
      <c r="E25" s="205"/>
      <c r="F25" s="205"/>
      <c r="G25" s="205"/>
      <c r="H25" s="205"/>
      <c r="I25" s="205"/>
      <c r="J25" s="206"/>
      <c r="K25" s="206"/>
      <c r="L25" s="206"/>
      <c r="M25" s="113">
        <f>IF($E25="Yes",'Point Schedule'!$B$93,0)</f>
        <v>0</v>
      </c>
      <c r="N25" s="96">
        <f>IF(AND($F25="SCN",$F25="SCN"),'Point Schedule'!$B$85,IF(AND($F25="SCNE",$F25="SCNE"),'Point Schedule'!$B$86,IF(AND($F25="SCA",$F25="SCA"),'Point Schedule'!$B$87,IF(AND($F25="SCAE",$F25="SCAE"),'Point Schedule'!$B$88,IF(AND($F25="SCE",$F25="SCE"),'Point Schedule'!$B$89,IF(AND($F25="SCM",$F25="SCM"),'Point Schedule'!$B$91,IF(AND($F25="SCME",$F25="SCME"),'Point Schedule'!$B$92,IF(AND($F25="SCEE",$F25="SCEE"),'Point Schedule'!$B$89,0))))))))</f>
        <v>0</v>
      </c>
      <c r="O25" s="96">
        <f>IF(AND($G25="SIN",$G25="SIN"),'Point Schedule'!$C$85,IF(AND($G25="SINE",$G25="SINE"),'Point Schedule'!$C$86,IF(AND($G25="SIA",$G25="SIA"),'Point Schedule'!$C$87,IF(AND($G25="SIAE",$G25="SIAE"),'Point Schedule'!$C$88,IF(AND($G25="SIE",$G25="SIE"),'Point Schedule'!$C$89,IF(AND($G25="SIM",$G25="SIM"),'Point Schedule'!$C$91,IF(AND($G25="SIME",$G25="SIME"),'Point Schedule'!$C$92,IF(AND($G25="SIEE",$G25="SIEE"),'Point Schedule'!$C$89,0))))))))</f>
        <v>0</v>
      </c>
      <c r="P25" s="96">
        <f>IF(AND($H25="SEN",$H25="SEN"),'Point Schedule'!$D$85,IF(AND($H25="SENE",$H25="SENE"),'Point Schedule'!$D$86,IF(AND($H25="SEA",$H25="SEA"),'Point Schedule'!$D$87,IF(AND($H25="SEAE",$H25="SEAE"),'Point Schedule'!$D$88,IF(AND($H25="SEE",$H25="SEE"),'Point Schedule'!$D$89,IF(AND($H25="SEM",$H25="SEM"),'Point Schedule'!$D$91,IF(AND($H25="SEME",$H25="SEME"),'Point Schedule'!$D$92,IF(AND($H25="SEEE",$H25="SEEE"),'Point Schedule'!$D$89,0))))))))</f>
        <v>0</v>
      </c>
      <c r="Q25" s="96">
        <f>IF(AND($I25="SBN",$I25="SBN"),'Point Schedule'!$E$85,IF(AND($I25="SBNE",$I25="SBNE"),'Point Schedule'!$E$86,IF(AND($I25="SBA",$I25="SBA"),'Point Schedule'!$E$87,IF(AND($I25="SBAE",$I25="SBAE"),'Point Schedule'!$E$88,IF(AND($I25="SBE",$I25="SBE"),'Point Schedule'!$E$89,IF(AND($I25="SBM",$I25="SBM"),'Point Schedule'!$E$91,IF(AND($I25="SBME",$I25="SBME"),'Point Schedule'!$E$92,IF(AND($I25="SBEE",$I25="SBEE"),'Point Schedule'!$E$89,0))))))))</f>
        <v>0</v>
      </c>
      <c r="R25" s="96">
        <f>IF(AND($J25="SHDN",$J25="SHDN"),'Point Schedule'!$F$85,IF(AND($J25="SHDNE",$J25="SHDNE"),'Point Schedule'!$F$86,IF(AND($J25="SHDA",$J25="SHDA"),'Point Schedule'!$F$87,IF(AND($J25="SHDAE",$J25="SHDAE"),'Point Schedule'!$F$88,IF(AND($J25="SHDE",$J25="SHDE"),'Point Schedule'!$F$89,IF(AND(J25="SHDM",$J25="SHDM"),'Point Schedule'!$F$91,IF(AND($J25="SHDME",$J25="SHDME"),'Point Schedule'!$F$92,IF(AND($J25="SHDEE",$J25="SHDEE"),'Point Schedule'!$F$89,0))))))))</f>
        <v>0</v>
      </c>
      <c r="S25" s="96">
        <f>IF(AND($K25="SND",$K25="SND"),'Point Schedule'!$G$85,0)</f>
        <v>0</v>
      </c>
      <c r="T25" s="96">
        <f>IF(AND($L25="SWN",$L25="SWN"),'Point Schedule'!$H$85,IF(AND($L25="SWNE",$L25="SWNE"),'Point Schedule'!$H$86,IF(AND($L25="SWA",$L25="SWA"),'Point Schedule'!$H$87,IF(AND($L25="SWAE",$L25="SWAE"),'Point Schedule'!$H$88,IF(AND($L25="SWE",$L25="SWE"),'Point Schedule'!$H$89,IF(AND($L25="SWM",$L25="SWM"),'Point Schedule'!$H$91,IF(AND($L25="SWME",$L25="SWME"),'Point Schedule'!$H$92,IF(AND($L25="SWEE",$L25="SWEE"),'Point Schedule'!$H$89,0))))))))</f>
        <v>0</v>
      </c>
      <c r="U25" s="761"/>
      <c r="V25" s="3"/>
      <c r="W25" s="3"/>
      <c r="X25" s="3"/>
      <c r="Y25" s="3"/>
      <c r="Z25" s="3"/>
      <c r="AA25" s="3"/>
      <c r="AB25" s="3"/>
      <c r="AC25" s="3"/>
      <c r="AD25" s="3"/>
    </row>
    <row r="26" spans="1:30" ht="20.149999999999999" customHeight="1" x14ac:dyDescent="0.6">
      <c r="A26" s="387"/>
      <c r="B26" s="204"/>
      <c r="C26" s="545"/>
      <c r="D26" s="547"/>
      <c r="E26" s="205"/>
      <c r="F26" s="205"/>
      <c r="G26" s="205"/>
      <c r="H26" s="205"/>
      <c r="I26" s="205"/>
      <c r="J26" s="206"/>
      <c r="K26" s="206"/>
      <c r="L26" s="206"/>
      <c r="M26" s="113">
        <f>IF($E26="Yes",'Point Schedule'!$B$93,0)</f>
        <v>0</v>
      </c>
      <c r="N26" s="96">
        <f>IF(AND($F26="SCN",$F26="SCN"),'Point Schedule'!$B$85,IF(AND($F26="SCNE",$F26="SCNE"),'Point Schedule'!$B$86,IF(AND($F26="SCA",$F26="SCA"),'Point Schedule'!$B$87,IF(AND($F26="SCAE",$F26="SCAE"),'Point Schedule'!$B$88,IF(AND($F26="SCE",$F26="SCE"),'Point Schedule'!$B$89,IF(AND($F26="SCM",$F26="SCM"),'Point Schedule'!$B$91,IF(AND($F26="SCME",$F26="SCME"),'Point Schedule'!$B$92,IF(AND($F26="SCEE",$F26="SCEE"),'Point Schedule'!$B$89,0))))))))</f>
        <v>0</v>
      </c>
      <c r="O26" s="96">
        <f>IF(AND($G26="SIN",$G26="SIN"),'Point Schedule'!$C$85,IF(AND($G26="SINE",$G26="SINE"),'Point Schedule'!$C$86,IF(AND($G26="SIA",$G26="SIA"),'Point Schedule'!$C$87,IF(AND($G26="SIAE",$G26="SIAE"),'Point Schedule'!$C$88,IF(AND($G26="SIE",$G26="SIE"),'Point Schedule'!$C$89,IF(AND($G26="SIM",$G26="SIM"),'Point Schedule'!$C$91,IF(AND($G26="SIME",$G26="SIME"),'Point Schedule'!$C$92,IF(AND($G26="SIEE",$G26="SIEE"),'Point Schedule'!$C$89,0))))))))</f>
        <v>0</v>
      </c>
      <c r="P26" s="96">
        <f>IF(AND($H26="SEN",$H26="SEN"),'Point Schedule'!$D$85,IF(AND($H26="SENE",$H26="SENE"),'Point Schedule'!$D$86,IF(AND($H26="SEA",$H26="SEA"),'Point Schedule'!$D$87,IF(AND($H26="SEAE",$H26="SEAE"),'Point Schedule'!$D$88,IF(AND($H26="SEE",$H26="SEE"),'Point Schedule'!$D$89,IF(AND($H26="SEM",$H26="SEM"),'Point Schedule'!$D$91,IF(AND($H26="SEME",$H26="SEME"),'Point Schedule'!$D$92,IF(AND($H26="SEEE",$H26="SEEE"),'Point Schedule'!$D$89,0))))))))</f>
        <v>0</v>
      </c>
      <c r="Q26" s="96">
        <f>IF(AND($I26="SBN",$I26="SBN"),'Point Schedule'!$E$85,IF(AND($I26="SBNE",$I26="SBNE"),'Point Schedule'!$E$86,IF(AND($I26="SBA",$I26="SBA"),'Point Schedule'!$E$87,IF(AND($I26="SBAE",$I26="SBAE"),'Point Schedule'!$E$88,IF(AND($I26="SBE",$I26="SBE"),'Point Schedule'!$E$89,IF(AND($I26="SBM",$I26="SBM"),'Point Schedule'!$E$91,IF(AND($I26="SBME",$I26="SBME"),'Point Schedule'!$E$92,IF(AND($I26="SBEE",$I26="SBEE"),'Point Schedule'!$E$89,0))))))))</f>
        <v>0</v>
      </c>
      <c r="R26" s="96">
        <f>IF(AND($J26="SHDN",$J26="SHDN"),'Point Schedule'!$F$85,IF(AND($J26="SHDNE",$J26="SHDNE"),'Point Schedule'!$F$86,IF(AND($J26="SHDA",$J26="SHDA"),'Point Schedule'!$F$87,IF(AND($J26="SHDAE",$J26="SHDAE"),'Point Schedule'!$F$88,IF(AND($J26="SHDE",$J26="SHDE"),'Point Schedule'!$F$89,IF(AND(J26="SHDM",$J26="SHDM"),'Point Schedule'!$F$91,IF(AND($J26="SHDME",$J26="SHDME"),'Point Schedule'!$F$92,IF(AND($J26="SHDEE",$J26="SHDEE"),'Point Schedule'!$F$89,0))))))))</f>
        <v>0</v>
      </c>
      <c r="S26" s="96">
        <f>IF(AND($K26="SND",$K26="SND"),'Point Schedule'!$G$85,0)</f>
        <v>0</v>
      </c>
      <c r="T26" s="96">
        <f>IF(AND($L26="SWN",$L26="SWN"),'Point Schedule'!$H$85,IF(AND($L26="SWNE",$L26="SWNE"),'Point Schedule'!$H$86,IF(AND($L26="SWA",$L26="SWA"),'Point Schedule'!$H$87,IF(AND($L26="SWAE",$L26="SWAE"),'Point Schedule'!$H$88,IF(AND($L26="SWE",$L26="SWE"),'Point Schedule'!$H$89,IF(AND($L26="SWM",$L26="SWM"),'Point Schedule'!$H$91,IF(AND($L26="SWME",$L26="SWME"),'Point Schedule'!$H$92,IF(AND($L26="SWEE",$L26="SWEE"),'Point Schedule'!$H$89,0))))))))</f>
        <v>0</v>
      </c>
      <c r="U26" s="761"/>
      <c r="V26" s="3"/>
      <c r="W26" s="3"/>
      <c r="X26" s="3"/>
      <c r="Y26" s="3"/>
      <c r="Z26" s="3"/>
      <c r="AA26" s="3"/>
      <c r="AB26" s="3"/>
      <c r="AC26" s="3"/>
      <c r="AD26" s="3"/>
    </row>
    <row r="27" spans="1:30" ht="20.149999999999999" customHeight="1" x14ac:dyDescent="0.6">
      <c r="A27" s="387"/>
      <c r="B27" s="204"/>
      <c r="C27" s="545"/>
      <c r="D27" s="547"/>
      <c r="E27" s="205"/>
      <c r="F27" s="205"/>
      <c r="G27" s="205"/>
      <c r="H27" s="205"/>
      <c r="I27" s="205"/>
      <c r="J27" s="206"/>
      <c r="K27" s="206"/>
      <c r="L27" s="206"/>
      <c r="M27" s="113">
        <f>IF($E27="Yes",'Point Schedule'!$B$93,0)</f>
        <v>0</v>
      </c>
      <c r="N27" s="96">
        <f>IF(AND($F27="SCN",$F27="SCN"),'Point Schedule'!$B$85,IF(AND($F27="SCNE",$F27="SCNE"),'Point Schedule'!$B$86,IF(AND($F27="SCA",$F27="SCA"),'Point Schedule'!$B$87,IF(AND($F27="SCAE",$F27="SCAE"),'Point Schedule'!$B$88,IF(AND($F27="SCE",$F27="SCE"),'Point Schedule'!$B$89,IF(AND($F27="SCM",$F27="SCM"),'Point Schedule'!$B$91,IF(AND($F27="SCME",$F27="SCME"),'Point Schedule'!$B$92,IF(AND($F27="SCEE",$F27="SCEE"),'Point Schedule'!$B$89,0))))))))</f>
        <v>0</v>
      </c>
      <c r="O27" s="96">
        <f>IF(AND($G27="SIN",$G27="SIN"),'Point Schedule'!$C$85,IF(AND($G27="SINE",$G27="SINE"),'Point Schedule'!$C$86,IF(AND($G27="SIA",$G27="SIA"),'Point Schedule'!$C$87,IF(AND($G27="SIAE",$G27="SIAE"),'Point Schedule'!$C$88,IF(AND($G27="SIE",$G27="SIE"),'Point Schedule'!$C$89,IF(AND($G27="SIM",$G27="SIM"),'Point Schedule'!$C$91,IF(AND($G27="SIME",$G27="SIME"),'Point Schedule'!$C$92,IF(AND($G27="SIEE",$G27="SIEE"),'Point Schedule'!$C$89,0))))))))</f>
        <v>0</v>
      </c>
      <c r="P27" s="96">
        <f>IF(AND($H27="SEN",$H27="SEN"),'Point Schedule'!$D$85,IF(AND($H27="SENE",$H27="SENE"),'Point Schedule'!$D$86,IF(AND($H27="SEA",$H27="SEA"),'Point Schedule'!$D$87,IF(AND($H27="SEAE",$H27="SEAE"),'Point Schedule'!$D$88,IF(AND($H27="SEE",$H27="SEE"),'Point Schedule'!$D$89,IF(AND($H27="SEM",$H27="SEM"),'Point Schedule'!$D$91,IF(AND($H27="SEME",$H27="SEME"),'Point Schedule'!$D$92,IF(AND($H27="SEEE",$H27="SEEE"),'Point Schedule'!$D$89,0))))))))</f>
        <v>0</v>
      </c>
      <c r="Q27" s="96">
        <f>IF(AND($I27="SBN",$I27="SBN"),'Point Schedule'!$E$85,IF(AND($I27="SBNE",$I27="SBNE"),'Point Schedule'!$E$86,IF(AND($I27="SBA",$I27="SBA"),'Point Schedule'!$E$87,IF(AND($I27="SBAE",$I27="SBAE"),'Point Schedule'!$E$88,IF(AND($I27="SBE",$I27="SBE"),'Point Schedule'!$E$89,IF(AND($I27="SBM",$I27="SBM"),'Point Schedule'!$E$91,IF(AND($I27="SBME",$I27="SBME"),'Point Schedule'!$E$92,IF(AND($I27="SBEE",$I27="SBEE"),'Point Schedule'!$E$89,0))))))))</f>
        <v>0</v>
      </c>
      <c r="R27" s="96">
        <f>IF(AND($J27="SHDN",$J27="SHDN"),'Point Schedule'!$F$85,IF(AND($J27="SHDNE",$J27="SHDNE"),'Point Schedule'!$F$86,IF(AND($J27="SHDA",$J27="SHDA"),'Point Schedule'!$F$87,IF(AND($J27="SHDAE",$J27="SHDAE"),'Point Schedule'!$F$88,IF(AND($J27="SHDE",$J27="SHDE"),'Point Schedule'!$F$89,IF(AND(J27="SHDM",$J27="SHDM"),'Point Schedule'!$F$91,IF(AND($J27="SHDME",$J27="SHDME"),'Point Schedule'!$F$92,IF(AND($J27="SHDEE",$J27="SHDEE"),'Point Schedule'!$F$89,0))))))))</f>
        <v>0</v>
      </c>
      <c r="S27" s="96">
        <f>IF(AND($K27="SND",$K27="SND"),'Point Schedule'!$G$85,0)</f>
        <v>0</v>
      </c>
      <c r="T27" s="96">
        <f>IF(AND($L27="SWN",$L27="SWN"),'Point Schedule'!$H$85,IF(AND($L27="SWNE",$L27="SWNE"),'Point Schedule'!$H$86,IF(AND($L27="SWA",$L27="SWA"),'Point Schedule'!$H$87,IF(AND($L27="SWAE",$L27="SWAE"),'Point Schedule'!$H$88,IF(AND($L27="SWE",$L27="SWE"),'Point Schedule'!$H$89,IF(AND($L27="SWM",$L27="SWM"),'Point Schedule'!$H$91,IF(AND($L27="SWME",$L27="SWME"),'Point Schedule'!$H$92,IF(AND($L27="SWEE",$L27="SWEE"),'Point Schedule'!$H$89,0))))))))</f>
        <v>0</v>
      </c>
      <c r="U27" s="761"/>
      <c r="V27" s="3"/>
      <c r="W27" s="3"/>
      <c r="X27" s="3"/>
      <c r="Y27" s="3"/>
      <c r="Z27" s="3"/>
      <c r="AA27" s="3"/>
      <c r="AB27" s="3"/>
      <c r="AC27" s="3"/>
      <c r="AD27" s="3"/>
    </row>
    <row r="28" spans="1:30" ht="20.149999999999999" customHeight="1" x14ac:dyDescent="0.6">
      <c r="A28" s="387"/>
      <c r="B28" s="204"/>
      <c r="C28" s="545"/>
      <c r="D28" s="547"/>
      <c r="E28" s="205"/>
      <c r="F28" s="205"/>
      <c r="G28" s="205"/>
      <c r="H28" s="205"/>
      <c r="I28" s="205"/>
      <c r="J28" s="206"/>
      <c r="K28" s="206"/>
      <c r="L28" s="206"/>
      <c r="M28" s="113">
        <f>IF($E28="Yes",'Point Schedule'!$B$93,0)</f>
        <v>0</v>
      </c>
      <c r="N28" s="96">
        <f>IF(AND($F28="SCN",$F28="SCN"),'Point Schedule'!$B$85,IF(AND($F28="SCNE",$F28="SCNE"),'Point Schedule'!$B$86,IF(AND($F28="SCA",$F28="SCA"),'Point Schedule'!$B$87,IF(AND($F28="SCAE",$F28="SCAE"),'Point Schedule'!$B$88,IF(AND($F28="SCE",$F28="SCE"),'Point Schedule'!$B$89,IF(AND($F28="SCM",$F28="SCM"),'Point Schedule'!$B$91,IF(AND($F28="SCME",$F28="SCME"),'Point Schedule'!$B$92,IF(AND($F28="SCEE",$F28="SCEE"),'Point Schedule'!$B$89,0))))))))</f>
        <v>0</v>
      </c>
      <c r="O28" s="96">
        <f>IF(AND($G28="SIN",$G28="SIN"),'Point Schedule'!$C$85,IF(AND($G28="SINE",$G28="SINE"),'Point Schedule'!$C$86,IF(AND($G28="SIA",$G28="SIA"),'Point Schedule'!$C$87,IF(AND($G28="SIAE",$G28="SIAE"),'Point Schedule'!$C$88,IF(AND($G28="SIE",$G28="SIE"),'Point Schedule'!$C$89,IF(AND($G28="SIM",$G28="SIM"),'Point Schedule'!$C$91,IF(AND($G28="SIME",$G28="SIME"),'Point Schedule'!$C$92,IF(AND($G28="SIEE",$G28="SIEE"),'Point Schedule'!$C$89,0))))))))</f>
        <v>0</v>
      </c>
      <c r="P28" s="96">
        <f>IF(AND($H28="SEN",$H28="SEN"),'Point Schedule'!$D$85,IF(AND($H28="SENE",$H28="SENE"),'Point Schedule'!$D$86,IF(AND($H28="SEA",$H28="SEA"),'Point Schedule'!$D$87,IF(AND($H28="SEAE",$H28="SEAE"),'Point Schedule'!$D$88,IF(AND($H28="SEE",$H28="SEE"),'Point Schedule'!$D$89,IF(AND($H28="SEM",$H28="SEM"),'Point Schedule'!$D$91,IF(AND($H28="SEME",$H28="SEME"),'Point Schedule'!$D$92,IF(AND($H28="SEEE",$H28="SEEE"),'Point Schedule'!$D$89,0))))))))</f>
        <v>0</v>
      </c>
      <c r="Q28" s="96">
        <f>IF(AND($I28="SBN",$I28="SBN"),'Point Schedule'!$E$85,IF(AND($I28="SBNE",$I28="SBNE"),'Point Schedule'!$E$86,IF(AND($I28="SBA",$I28="SBA"),'Point Schedule'!$E$87,IF(AND($I28="SBAE",$I28="SBAE"),'Point Schedule'!$E$88,IF(AND($I28="SBE",$I28="SBE"),'Point Schedule'!$E$89,IF(AND($I28="SBM",$I28="SBM"),'Point Schedule'!$E$91,IF(AND($I28="SBME",$I28="SBME"),'Point Schedule'!$E$92,IF(AND($I28="SBEE",$I28="SBEE"),'Point Schedule'!$E$89,0))))))))</f>
        <v>0</v>
      </c>
      <c r="R28" s="96">
        <f>IF(AND($J28="SHDN",$J28="SHDN"),'Point Schedule'!$F$85,IF(AND($J28="SHDNE",$J28="SHDNE"),'Point Schedule'!$F$86,IF(AND($J28="SHDA",$J28="SHDA"),'Point Schedule'!$F$87,IF(AND($J28="SHDAE",$J28="SHDAE"),'Point Schedule'!$F$88,IF(AND($J28="SHDE",$J28="SHDE"),'Point Schedule'!$F$89,IF(AND(J28="SHDM",$J28="SHDM"),'Point Schedule'!$F$91,IF(AND($J28="SHDME",$J28="SHDME"),'Point Schedule'!$F$92,IF(AND($J28="SHDEE",$J28="SHDEE"),'Point Schedule'!$F$89,0))))))))</f>
        <v>0</v>
      </c>
      <c r="S28" s="96">
        <f>IF(AND($K28="SND",$K28="SND"),'Point Schedule'!$G$85,0)</f>
        <v>0</v>
      </c>
      <c r="T28" s="96">
        <f>IF(AND($L28="SWN",$L28="SWN"),'Point Schedule'!$H$85,IF(AND($L28="SWNE",$L28="SWNE"),'Point Schedule'!$H$86,IF(AND($L28="SWA",$L28="SWA"),'Point Schedule'!$H$87,IF(AND($L28="SWAE",$L28="SWAE"),'Point Schedule'!$H$88,IF(AND($L28="SWE",$L28="SWE"),'Point Schedule'!$H$89,IF(AND($L28="SWM",$L28="SWM"),'Point Schedule'!$H$91,IF(AND($L28="SWME",$L28="SWME"),'Point Schedule'!$H$92,IF(AND($L28="SWEE",$L28="SWEE"),'Point Schedule'!$H$89,0))))))))</f>
        <v>0</v>
      </c>
      <c r="U28" s="761"/>
      <c r="V28" s="3"/>
      <c r="W28" s="3"/>
      <c r="X28" s="3"/>
      <c r="Y28" s="3"/>
      <c r="Z28" s="3"/>
      <c r="AA28" s="3"/>
      <c r="AB28" s="3"/>
      <c r="AC28" s="3"/>
      <c r="AD28" s="3"/>
    </row>
    <row r="29" spans="1:30" ht="20.149999999999999" customHeight="1" x14ac:dyDescent="0.6">
      <c r="A29" s="387"/>
      <c r="B29" s="204"/>
      <c r="C29" s="545"/>
      <c r="D29" s="547"/>
      <c r="E29" s="205"/>
      <c r="F29" s="205"/>
      <c r="G29" s="205"/>
      <c r="H29" s="205"/>
      <c r="I29" s="205"/>
      <c r="J29" s="206"/>
      <c r="K29" s="206"/>
      <c r="L29" s="206"/>
      <c r="M29" s="113">
        <f>IF($E29="Yes",'Point Schedule'!$B$93,0)</f>
        <v>0</v>
      </c>
      <c r="N29" s="96">
        <f>IF(AND($F29="SCN",$F29="SCN"),'Point Schedule'!$B$85,IF(AND($F29="SCNE",$F29="SCNE"),'Point Schedule'!$B$86,IF(AND($F29="SCA",$F29="SCA"),'Point Schedule'!$B$87,IF(AND($F29="SCAE",$F29="SCAE"),'Point Schedule'!$B$88,IF(AND($F29="SCE",$F29="SCE"),'Point Schedule'!$B$89,IF(AND($F29="SCM",$F29="SCM"),'Point Schedule'!$B$91,IF(AND($F29="SCME",$F29="SCME"),'Point Schedule'!$B$92,IF(AND($F29="SCEE",$F29="SCEE"),'Point Schedule'!$B$89,0))))))))</f>
        <v>0</v>
      </c>
      <c r="O29" s="96">
        <f>IF(AND($G29="SIN",$G29="SIN"),'Point Schedule'!$C$85,IF(AND($G29="SINE",$G29="SINE"),'Point Schedule'!$C$86,IF(AND($G29="SIA",$G29="SIA"),'Point Schedule'!$C$87,IF(AND($G29="SIAE",$G29="SIAE"),'Point Schedule'!$C$88,IF(AND($G29="SIE",$G29="SIE"),'Point Schedule'!$C$89,IF(AND($G29="SIM",$G29="SIM"),'Point Schedule'!$C$91,IF(AND($G29="SIME",$G29="SIME"),'Point Schedule'!$C$92,IF(AND($G29="SIEE",$G29="SIEE"),'Point Schedule'!$C$89,0))))))))</f>
        <v>0</v>
      </c>
      <c r="P29" s="96">
        <f>IF(AND($H29="SEN",$H29="SEN"),'Point Schedule'!$D$85,IF(AND($H29="SENE",$H29="SENE"),'Point Schedule'!$D$86,IF(AND($H29="SEA",$H29="SEA"),'Point Schedule'!$D$87,IF(AND($H29="SEAE",$H29="SEAE"),'Point Schedule'!$D$88,IF(AND($H29="SEE",$H29="SEE"),'Point Schedule'!$D$89,IF(AND($H29="SEM",$H29="SEM"),'Point Schedule'!$D$91,IF(AND($H29="SEME",$H29="SEME"),'Point Schedule'!$D$92,IF(AND($H29="SEEE",$H29="SEEE"),'Point Schedule'!$D$89,0))))))))</f>
        <v>0</v>
      </c>
      <c r="Q29" s="96">
        <f>IF(AND($I29="SBN",$I29="SBN"),'Point Schedule'!$E$85,IF(AND($I29="SBNE",$I29="SBNE"),'Point Schedule'!$E$86,IF(AND($I29="SBA",$I29="SBA"),'Point Schedule'!$E$87,IF(AND($I29="SBAE",$I29="SBAE"),'Point Schedule'!$E$88,IF(AND($I29="SBE",$I29="SBE"),'Point Schedule'!$E$89,IF(AND($I29="SBM",$I29="SBM"),'Point Schedule'!$E$91,IF(AND($I29="SBME",$I29="SBME"),'Point Schedule'!$E$92,IF(AND($I29="SBEE",$I29="SBEE"),'Point Schedule'!$E$89,0))))))))</f>
        <v>0</v>
      </c>
      <c r="R29" s="96">
        <f>IF(AND($J29="SHDN",$J29="SHDN"),'Point Schedule'!$F$85,IF(AND($J29="SHDNE",$J29="SHDNE"),'Point Schedule'!$F$86,IF(AND($J29="SHDA",$J29="SHDA"),'Point Schedule'!$F$87,IF(AND($J29="SHDAE",$J29="SHDAE"),'Point Schedule'!$F$88,IF(AND($J29="SHDE",$J29="SHDE"),'Point Schedule'!$F$89,IF(AND(J29="SHDM",$J29="SHDM"),'Point Schedule'!$F$91,IF(AND($J29="SHDME",$J29="SHDME"),'Point Schedule'!$F$92,IF(AND($J29="SHDEE",$J29="SHDEE"),'Point Schedule'!$F$89,0))))))))</f>
        <v>0</v>
      </c>
      <c r="S29" s="96">
        <f>IF(AND($K29="SND",$K29="SND"),'Point Schedule'!$G$85,0)</f>
        <v>0</v>
      </c>
      <c r="T29" s="96">
        <f>IF(AND($L29="SWN",$L29="SWN"),'Point Schedule'!$H$85,IF(AND($L29="SWNE",$L29="SWNE"),'Point Schedule'!$H$86,IF(AND($L29="SWA",$L29="SWA"),'Point Schedule'!$H$87,IF(AND($L29="SWAE",$L29="SWAE"),'Point Schedule'!$H$88,IF(AND($L29="SWE",$L29="SWE"),'Point Schedule'!$H$89,IF(AND($L29="SWM",$L29="SWM"),'Point Schedule'!$H$91,IF(AND($L29="SWME",$L29="SWME"),'Point Schedule'!$H$92,IF(AND($L29="SWEE",$L29="SWEE"),'Point Schedule'!$H$89,0))))))))</f>
        <v>0</v>
      </c>
      <c r="U29" s="761"/>
      <c r="V29" s="3"/>
      <c r="W29" s="3"/>
      <c r="X29" s="3"/>
      <c r="Y29" s="3"/>
      <c r="Z29" s="3"/>
      <c r="AA29" s="3"/>
      <c r="AB29" s="3"/>
      <c r="AC29" s="3"/>
      <c r="AD29" s="3"/>
    </row>
    <row r="30" spans="1:30" ht="20.149999999999999" customHeight="1" x14ac:dyDescent="0.6">
      <c r="A30" s="387"/>
      <c r="B30" s="204"/>
      <c r="C30" s="545"/>
      <c r="D30" s="547"/>
      <c r="E30" s="205"/>
      <c r="F30" s="205"/>
      <c r="G30" s="205"/>
      <c r="H30" s="205"/>
      <c r="I30" s="205"/>
      <c r="J30" s="206"/>
      <c r="K30" s="206"/>
      <c r="L30" s="206"/>
      <c r="M30" s="113">
        <f>IF($E30="Yes",'Point Schedule'!$B$93,0)</f>
        <v>0</v>
      </c>
      <c r="N30" s="96">
        <f>IF(AND($F30="SCN",$F30="SCN"),'Point Schedule'!$B$85,IF(AND($F30="SCNE",$F30="SCNE"),'Point Schedule'!$B$86,IF(AND($F30="SCA",$F30="SCA"),'Point Schedule'!$B$87,IF(AND($F30="SCAE",$F30="SCAE"),'Point Schedule'!$B$88,IF(AND($F30="SCE",$F30="SCE"),'Point Schedule'!$B$89,IF(AND($F30="SCM",$F30="SCM"),'Point Schedule'!$B$91,IF(AND($F30="SCME",$F30="SCME"),'Point Schedule'!$B$92,IF(AND($F30="SCEE",$F30="SCEE"),'Point Schedule'!$B$89,0))))))))</f>
        <v>0</v>
      </c>
      <c r="O30" s="96">
        <f>IF(AND($G30="SIN",$G30="SIN"),'Point Schedule'!$C$85,IF(AND($G30="SINE",$G30="SINE"),'Point Schedule'!$C$86,IF(AND($G30="SIA",$G30="SIA"),'Point Schedule'!$C$87,IF(AND($G30="SIAE",$G30="SIAE"),'Point Schedule'!$C$88,IF(AND($G30="SIE",$G30="SIE"),'Point Schedule'!$C$89,IF(AND($G30="SIM",$G30="SIM"),'Point Schedule'!$C$91,IF(AND($G30="SIME",$G30="SIME"),'Point Schedule'!$C$92,IF(AND($G30="SIEE",$G30="SIEE"),'Point Schedule'!$C$89,0))))))))</f>
        <v>0</v>
      </c>
      <c r="P30" s="96">
        <f>IF(AND($H30="SEN",$H30="SEN"),'Point Schedule'!$D$85,IF(AND($H30="SENE",$H30="SENE"),'Point Schedule'!$D$86,IF(AND($H30="SEA",$H30="SEA"),'Point Schedule'!$D$87,IF(AND($H30="SEAE",$H30="SEAE"),'Point Schedule'!$D$88,IF(AND($H30="SEE",$H30="SEE"),'Point Schedule'!$D$89,IF(AND($H30="SEM",$H30="SEM"),'Point Schedule'!$D$91,IF(AND($H30="SEME",$H30="SEME"),'Point Schedule'!$D$92,IF(AND($H30="SEEE",$H30="SEEE"),'Point Schedule'!$D$89,0))))))))</f>
        <v>0</v>
      </c>
      <c r="Q30" s="96">
        <f>IF(AND($I30="SBN",$I30="SBN"),'Point Schedule'!$E$85,IF(AND($I30="SBNE",$I30="SBNE"),'Point Schedule'!$E$86,IF(AND($I30="SBA",$I30="SBA"),'Point Schedule'!$E$87,IF(AND($I30="SBAE",$I30="SBAE"),'Point Schedule'!$E$88,IF(AND($I30="SBE",$I30="SBE"),'Point Schedule'!$E$89,IF(AND($I30="SBM",$I30="SBM"),'Point Schedule'!$E$91,IF(AND($I30="SBME",$I30="SBME"),'Point Schedule'!$E$92,IF(AND($I30="SBEE",$I30="SBEE"),'Point Schedule'!$E$89,0))))))))</f>
        <v>0</v>
      </c>
      <c r="R30" s="96">
        <f>IF(AND($J30="SHDN",$J30="SHDN"),'Point Schedule'!$F$85,IF(AND($J30="SHDNE",$J30="SHDNE"),'Point Schedule'!$F$86,IF(AND($J30="SHDA",$J30="SHDA"),'Point Schedule'!$F$87,IF(AND($J30="SHDAE",$J30="SHDAE"),'Point Schedule'!$F$88,IF(AND($J30="SHDE",$J30="SHDE"),'Point Schedule'!$F$89,IF(AND(J30="SHDM",$J30="SHDM"),'Point Schedule'!$F$91,IF(AND($J30="SHDME",$J30="SHDME"),'Point Schedule'!$F$92,IF(AND($J30="SHDEE",$J30="SHDEE"),'Point Schedule'!$F$89,0))))))))</f>
        <v>0</v>
      </c>
      <c r="S30" s="96">
        <f>IF(AND($K30="SND",$K30="SND"),'Point Schedule'!$G$85,0)</f>
        <v>0</v>
      </c>
      <c r="T30" s="96">
        <f>IF(AND($L30="SWN",$L30="SWN"),'Point Schedule'!$H$85,IF(AND($L30="SWNE",$L30="SWNE"),'Point Schedule'!$H$86,IF(AND($L30="SWA",$L30="SWA"),'Point Schedule'!$H$87,IF(AND($L30="SWAE",$L30="SWAE"),'Point Schedule'!$H$88,IF(AND($L30="SWE",$L30="SWE"),'Point Schedule'!$H$89,IF(AND($L30="SWM",$L30="SWM"),'Point Schedule'!$H$91,IF(AND($L30="SWME",$L30="SWME"),'Point Schedule'!$H$92,IF(AND($L30="SWEE",$L30="SWEE"),'Point Schedule'!$H$89,0))))))))</f>
        <v>0</v>
      </c>
      <c r="U30" s="761"/>
      <c r="V30" s="3"/>
      <c r="W30" s="3"/>
      <c r="X30" s="3"/>
      <c r="Y30" s="3"/>
      <c r="Z30" s="3"/>
      <c r="AA30" s="3"/>
      <c r="AB30" s="3"/>
      <c r="AC30" s="3"/>
      <c r="AD30" s="3"/>
    </row>
    <row r="31" spans="1:30" ht="20.149999999999999" customHeight="1" x14ac:dyDescent="0.6">
      <c r="A31" s="387"/>
      <c r="B31" s="204"/>
      <c r="C31" s="545"/>
      <c r="D31" s="547"/>
      <c r="E31" s="205"/>
      <c r="F31" s="205"/>
      <c r="G31" s="205"/>
      <c r="H31" s="205"/>
      <c r="I31" s="205"/>
      <c r="J31" s="206"/>
      <c r="K31" s="206"/>
      <c r="L31" s="206"/>
      <c r="M31" s="113">
        <f>IF($E31="Yes",'Point Schedule'!$B$93,0)</f>
        <v>0</v>
      </c>
      <c r="N31" s="96">
        <f>IF(AND($F31="SCN",$F31="SCN"),'Point Schedule'!$B$85,IF(AND($F31="SCNE",$F31="SCNE"),'Point Schedule'!$B$86,IF(AND($F31="SCA",$F31="SCA"),'Point Schedule'!$B$87,IF(AND($F31="SCAE",$F31="SCAE"),'Point Schedule'!$B$88,IF(AND($F31="SCE",$F31="SCE"),'Point Schedule'!$B$89,IF(AND($F31="SCM",$F31="SCM"),'Point Schedule'!$B$91,IF(AND($F31="SCME",$F31="SCME"),'Point Schedule'!$B$92,IF(AND($F31="SCEE",$F31="SCEE"),'Point Schedule'!$B$89,0))))))))</f>
        <v>0</v>
      </c>
      <c r="O31" s="96">
        <f>IF(AND($G31="SIN",$G31="SIN"),'Point Schedule'!$C$85,IF(AND($G31="SINE",$G31="SINE"),'Point Schedule'!$C$86,IF(AND($G31="SIA",$G31="SIA"),'Point Schedule'!$C$87,IF(AND($G31="SIAE",$G31="SIAE"),'Point Schedule'!$C$88,IF(AND($G31="SIE",$G31="SIE"),'Point Schedule'!$C$89,IF(AND($G31="SIM",$G31="SIM"),'Point Schedule'!$C$91,IF(AND($G31="SIME",$G31="SIME"),'Point Schedule'!$C$92,IF(AND($G31="SIEE",$G31="SIEE"),'Point Schedule'!$C$89,0))))))))</f>
        <v>0</v>
      </c>
      <c r="P31" s="96">
        <f>IF(AND($H31="SEN",$H31="SEN"),'Point Schedule'!$D$85,IF(AND($H31="SENE",$H31="SENE"),'Point Schedule'!$D$86,IF(AND($H31="SEA",$H31="SEA"),'Point Schedule'!$D$87,IF(AND($H31="SEAE",$H31="SEAE"),'Point Schedule'!$D$88,IF(AND($H31="SEE",$H31="SEE"),'Point Schedule'!$D$89,IF(AND($H31="SEM",$H31="SEM"),'Point Schedule'!$D$91,IF(AND($H31="SEME",$H31="SEME"),'Point Schedule'!$D$92,IF(AND($H31="SEEE",$H31="SEEE"),'Point Schedule'!$D$89,0))))))))</f>
        <v>0</v>
      </c>
      <c r="Q31" s="96">
        <f>IF(AND($I31="SBN",$I31="SBN"),'Point Schedule'!$E$85,IF(AND($I31="SBNE",$I31="SBNE"),'Point Schedule'!$E$86,IF(AND($I31="SBA",$I31="SBA"),'Point Schedule'!$E$87,IF(AND($I31="SBAE",$I31="SBAE"),'Point Schedule'!$E$88,IF(AND($I31="SBE",$I31="SBE"),'Point Schedule'!$E$89,IF(AND($I31="SBM",$I31="SBM"),'Point Schedule'!$E$91,IF(AND($I31="SBME",$I31="SBME"),'Point Schedule'!$E$92,IF(AND($I31="SBEE",$I31="SBEE"),'Point Schedule'!$E$89,0))))))))</f>
        <v>0</v>
      </c>
      <c r="R31" s="96">
        <f>IF(AND($J31="SHDN",$J31="SHDN"),'Point Schedule'!$F$85,IF(AND($J31="SHDNE",$J31="SHDNE"),'Point Schedule'!$F$86,IF(AND($J31="SHDA",$J31="SHDA"),'Point Schedule'!$F$87,IF(AND($J31="SHDAE",$J31="SHDAE"),'Point Schedule'!$F$88,IF(AND($J31="SHDE",$J31="SHDE"),'Point Schedule'!$F$89,IF(AND(J31="SHDM",$J31="SHDM"),'Point Schedule'!$F$91,IF(AND($J31="SHDME",$J31="SHDME"),'Point Schedule'!$F$92,IF(AND($J31="SHDEE",$J31="SHDEE"),'Point Schedule'!$F$89,0))))))))</f>
        <v>0</v>
      </c>
      <c r="S31" s="96">
        <f>IF(AND($K31="SND",$K31="SND"),'Point Schedule'!$G$85,0)</f>
        <v>0</v>
      </c>
      <c r="T31" s="96">
        <f>IF(AND($L31="SWN",$L31="SWN"),'Point Schedule'!$H$85,IF(AND($L31="SWNE",$L31="SWNE"),'Point Schedule'!$H$86,IF(AND($L31="SWA",$L31="SWA"),'Point Schedule'!$H$87,IF(AND($L31="SWAE",$L31="SWAE"),'Point Schedule'!$H$88,IF(AND($L31="SWE",$L31="SWE"),'Point Schedule'!$H$89,IF(AND($L31="SWM",$L31="SWM"),'Point Schedule'!$H$91,IF(AND($L31="SWME",$L31="SWME"),'Point Schedule'!$H$92,IF(AND($L31="SWEE",$L31="SWEE"),'Point Schedule'!$H$89,0))))))))</f>
        <v>0</v>
      </c>
      <c r="U31" s="761"/>
      <c r="V31" s="3"/>
      <c r="W31" s="3"/>
      <c r="X31" s="3"/>
      <c r="Y31" s="3"/>
      <c r="Z31" s="3"/>
      <c r="AA31" s="3"/>
      <c r="AB31" s="3"/>
      <c r="AC31" s="3"/>
      <c r="AD31" s="3"/>
    </row>
    <row r="32" spans="1:30" ht="20.149999999999999" customHeight="1" x14ac:dyDescent="0.6">
      <c r="A32" s="387"/>
      <c r="B32" s="204"/>
      <c r="C32" s="545"/>
      <c r="D32" s="547"/>
      <c r="E32" s="205"/>
      <c r="F32" s="205"/>
      <c r="G32" s="205"/>
      <c r="H32" s="205"/>
      <c r="I32" s="205"/>
      <c r="J32" s="206"/>
      <c r="K32" s="206"/>
      <c r="L32" s="206"/>
      <c r="M32" s="113">
        <f>IF($E32="Yes",'Point Schedule'!$B$93,0)</f>
        <v>0</v>
      </c>
      <c r="N32" s="96">
        <f>IF(AND($F32="SCN",$F32="SCN"),'Point Schedule'!$B$85,IF(AND($F32="SCNE",$F32="SCNE"),'Point Schedule'!$B$86,IF(AND($F32="SCA",$F32="SCA"),'Point Schedule'!$B$87,IF(AND($F32="SCAE",$F32="SCAE"),'Point Schedule'!$B$88,IF(AND($F32="SCE",$F32="SCE"),'Point Schedule'!$B$89,IF(AND($F32="SCM",$F32="SCM"),'Point Schedule'!$B$91,IF(AND($F32="SCME",$F32="SCME"),'Point Schedule'!$B$92,IF(AND($F32="SCEE",$F32="SCEE"),'Point Schedule'!$B$89,0))))))))</f>
        <v>0</v>
      </c>
      <c r="O32" s="96">
        <f>IF(AND($G32="SIN",$G32="SIN"),'Point Schedule'!$C$85,IF(AND($G32="SINE",$G32="SINE"),'Point Schedule'!$C$86,IF(AND($G32="SIA",$G32="SIA"),'Point Schedule'!$C$87,IF(AND($G32="SIAE",$G32="SIAE"),'Point Schedule'!$C$88,IF(AND($G32="SIE",$G32="SIE"),'Point Schedule'!$C$89,IF(AND($G32="SIM",$G32="SIM"),'Point Schedule'!$C$91,IF(AND($G32="SIME",$G32="SIME"),'Point Schedule'!$C$92,IF(AND($G32="SIEE",$G32="SIEE"),'Point Schedule'!$C$89,0))))))))</f>
        <v>0</v>
      </c>
      <c r="P32" s="96">
        <f>IF(AND($H32="SEN",$H32="SEN"),'Point Schedule'!$D$85,IF(AND($H32="SENE",$H32="SENE"),'Point Schedule'!$D$86,IF(AND($H32="SEA",$H32="SEA"),'Point Schedule'!$D$87,IF(AND($H32="SEAE",$H32="SEAE"),'Point Schedule'!$D$88,IF(AND($H32="SEE",$H32="SEE"),'Point Schedule'!$D$89,IF(AND($H32="SEM",$H32="SEM"),'Point Schedule'!$D$91,IF(AND($H32="SEME",$H32="SEME"),'Point Schedule'!$D$92,IF(AND($H32="SEEE",$H32="SEEE"),'Point Schedule'!$D$89,0))))))))</f>
        <v>0</v>
      </c>
      <c r="Q32" s="96">
        <f>IF(AND($I32="SBN",$I32="SBN"),'Point Schedule'!$E$85,IF(AND($I32="SBNE",$I32="SBNE"),'Point Schedule'!$E$86,IF(AND($I32="SBA",$I32="SBA"),'Point Schedule'!$E$87,IF(AND($I32="SBAE",$I32="SBAE"),'Point Schedule'!$E$88,IF(AND($I32="SBE",$I32="SBE"),'Point Schedule'!$E$89,IF(AND($I32="SBM",$I32="SBM"),'Point Schedule'!$E$91,IF(AND($I32="SBME",$I32="SBME"),'Point Schedule'!$E$92,IF(AND($I32="SBEE",$I32="SBEE"),'Point Schedule'!$E$89,0))))))))</f>
        <v>0</v>
      </c>
      <c r="R32" s="96">
        <f>IF(AND($J32="SHDN",$J32="SHDN"),'Point Schedule'!$F$85,IF(AND($J32="SHDNE",$J32="SHDNE"),'Point Schedule'!$F$86,IF(AND($J32="SHDA",$J32="SHDA"),'Point Schedule'!$F$87,IF(AND($J32="SHDAE",$J32="SHDAE"),'Point Schedule'!$F$88,IF(AND($J32="SHDE",$J32="SHDE"),'Point Schedule'!$F$89,IF(AND(J32="SHDM",$J32="SHDM"),'Point Schedule'!$F$91,IF(AND($J32="SHDME",$J32="SHDME"),'Point Schedule'!$F$92,IF(AND($J32="SHDEE",$J32="SHDEE"),'Point Schedule'!$F$89,0))))))))</f>
        <v>0</v>
      </c>
      <c r="S32" s="96">
        <f>IF(AND($K32="SND",$K32="SND"),'Point Schedule'!$G$85,0)</f>
        <v>0</v>
      </c>
      <c r="T32" s="96">
        <f>IF(AND($L32="SWN",$L32="SWN"),'Point Schedule'!$H$85,IF(AND($L32="SWNE",$L32="SWNE"),'Point Schedule'!$H$86,IF(AND($L32="SWA",$L32="SWA"),'Point Schedule'!$H$87,IF(AND($L32="SWAE",$L32="SWAE"),'Point Schedule'!$H$88,IF(AND($L32="SWE",$L32="SWE"),'Point Schedule'!$H$89,IF(AND($L32="SWM",$L32="SWM"),'Point Schedule'!$H$91,IF(AND($L32="SWME",$L32="SWME"),'Point Schedule'!$H$92,IF(AND($L32="SWEE",$L32="SWEE"),'Point Schedule'!$H$89,0))))))))</f>
        <v>0</v>
      </c>
      <c r="U32" s="761"/>
      <c r="V32" s="3"/>
      <c r="W32" s="3"/>
      <c r="X32" s="3"/>
      <c r="Y32" s="3"/>
      <c r="Z32" s="3"/>
      <c r="AA32" s="3"/>
      <c r="AB32" s="3"/>
      <c r="AC32" s="3"/>
      <c r="AD32" s="3"/>
    </row>
    <row r="33" spans="1:30" ht="20.149999999999999" customHeight="1" x14ac:dyDescent="0.6">
      <c r="A33" s="387"/>
      <c r="B33" s="204"/>
      <c r="C33" s="545"/>
      <c r="D33" s="547"/>
      <c r="E33" s="205"/>
      <c r="F33" s="205"/>
      <c r="G33" s="205"/>
      <c r="H33" s="205"/>
      <c r="I33" s="205"/>
      <c r="J33" s="206"/>
      <c r="K33" s="206"/>
      <c r="L33" s="206"/>
      <c r="M33" s="113">
        <f>IF($E33="Yes",'Point Schedule'!$B$93,0)</f>
        <v>0</v>
      </c>
      <c r="N33" s="96">
        <f>IF(AND($F33="SCN",$F33="SCN"),'Point Schedule'!$B$85,IF(AND($F33="SCNE",$F33="SCNE"),'Point Schedule'!$B$86,IF(AND($F33="SCA",$F33="SCA"),'Point Schedule'!$B$87,IF(AND($F33="SCAE",$F33="SCAE"),'Point Schedule'!$B$88,IF(AND($F33="SCE",$F33="SCE"),'Point Schedule'!$B$89,IF(AND($F33="SCM",$F33="SCM"),'Point Schedule'!$B$91,IF(AND($F33="SCME",$F33="SCME"),'Point Schedule'!$B$92,IF(AND($F33="SCEE",$F33="SCEE"),'Point Schedule'!$B$89,0))))))))</f>
        <v>0</v>
      </c>
      <c r="O33" s="96">
        <f>IF(AND($G33="SIN",$G33="SIN"),'Point Schedule'!$C$85,IF(AND($G33="SINE",$G33="SINE"),'Point Schedule'!$C$86,IF(AND($G33="SIA",$G33="SIA"),'Point Schedule'!$C$87,IF(AND($G33="SIAE",$G33="SIAE"),'Point Schedule'!$C$88,IF(AND($G33="SIE",$G33="SIE"),'Point Schedule'!$C$89,IF(AND($G33="SIM",$G33="SIM"),'Point Schedule'!$C$91,IF(AND($G33="SIME",$G33="SIME"),'Point Schedule'!$C$92,IF(AND($G33="SIEE",$G33="SIEE"),'Point Schedule'!$C$89,0))))))))</f>
        <v>0</v>
      </c>
      <c r="P33" s="96">
        <f>IF(AND($H33="SEN",$H33="SEN"),'Point Schedule'!$D$85,IF(AND($H33="SENE",$H33="SENE"),'Point Schedule'!$D$86,IF(AND($H33="SEA",$H33="SEA"),'Point Schedule'!$D$87,IF(AND($H33="SEAE",$H33="SEAE"),'Point Schedule'!$D$88,IF(AND($H33="SEE",$H33="SEE"),'Point Schedule'!$D$89,IF(AND($H33="SEM",$H33="SEM"),'Point Schedule'!$D$91,IF(AND($H33="SEME",$H33="SEME"),'Point Schedule'!$D$92,IF(AND($H33="SEEE",$H33="SEEE"),'Point Schedule'!$D$89,0))))))))</f>
        <v>0</v>
      </c>
      <c r="Q33" s="96">
        <f>IF(AND($I33="SBN",$I33="SBN"),'Point Schedule'!$E$85,IF(AND($I33="SBNE",$I33="SBNE"),'Point Schedule'!$E$86,IF(AND($I33="SBA",$I33="SBA"),'Point Schedule'!$E$87,IF(AND($I33="SBAE",$I33="SBAE"),'Point Schedule'!$E$88,IF(AND($I33="SBE",$I33="SBE"),'Point Schedule'!$E$89,IF(AND($I33="SBM",$I33="SBM"),'Point Schedule'!$E$91,IF(AND($I33="SBME",$I33="SBME"),'Point Schedule'!$E$92,IF(AND($I33="SBEE",$I33="SBEE"),'Point Schedule'!$E$89,0))))))))</f>
        <v>0</v>
      </c>
      <c r="R33" s="96">
        <f>IF(AND($J33="SHDN",$J33="SHDN"),'Point Schedule'!$F$85,IF(AND($J33="SHDNE",$J33="SHDNE"),'Point Schedule'!$F$86,IF(AND($J33="SHDA",$J33="SHDA"),'Point Schedule'!$F$87,IF(AND($J33="SHDAE",$J33="SHDAE"),'Point Schedule'!$F$88,IF(AND($J33="SHDE",$J33="SHDE"),'Point Schedule'!$F$89,IF(AND(J33="SHDM",$J33="SHDM"),'Point Schedule'!$F$91,IF(AND($J33="SHDME",$J33="SHDME"),'Point Schedule'!$F$92,IF(AND($J33="SHDEE",$J33="SHDEE"),'Point Schedule'!$F$89,0))))))))</f>
        <v>0</v>
      </c>
      <c r="S33" s="96">
        <f>IF(AND($K33="SND",$K33="SND"),'Point Schedule'!$G$85,0)</f>
        <v>0</v>
      </c>
      <c r="T33" s="96">
        <f>IF(AND($L33="SWN",$L33="SWN"),'Point Schedule'!$H$85,IF(AND($L33="SWNE",$L33="SWNE"),'Point Schedule'!$H$86,IF(AND($L33="SWA",$L33="SWA"),'Point Schedule'!$H$87,IF(AND($L33="SWAE",$L33="SWAE"),'Point Schedule'!$H$88,IF(AND($L33="SWE",$L33="SWE"),'Point Schedule'!$H$89,IF(AND($L33="SWM",$L33="SWM"),'Point Schedule'!$H$91,IF(AND($L33="SWME",$L33="SWME"),'Point Schedule'!$H$92,IF(AND($L33="SWEE",$L33="SWEE"),'Point Schedule'!$H$89,0))))))))</f>
        <v>0</v>
      </c>
      <c r="U33" s="761"/>
      <c r="V33" s="3"/>
      <c r="W33" s="3"/>
      <c r="X33" s="3"/>
      <c r="Y33" s="3"/>
      <c r="Z33" s="3"/>
      <c r="AA33" s="3"/>
      <c r="AB33" s="3"/>
      <c r="AC33" s="3"/>
      <c r="AD33" s="3"/>
    </row>
    <row r="34" spans="1:30" ht="20.149999999999999" customHeight="1" x14ac:dyDescent="0.6">
      <c r="A34" s="387"/>
      <c r="B34" s="204"/>
      <c r="C34" s="545"/>
      <c r="D34" s="547"/>
      <c r="E34" s="205"/>
      <c r="F34" s="205"/>
      <c r="G34" s="205"/>
      <c r="H34" s="205"/>
      <c r="I34" s="205"/>
      <c r="J34" s="206"/>
      <c r="K34" s="206"/>
      <c r="L34" s="206"/>
      <c r="M34" s="113">
        <f>IF($E34="Yes",'Point Schedule'!$B$93,0)</f>
        <v>0</v>
      </c>
      <c r="N34" s="96">
        <f>IF(AND($F34="SCN",$F34="SCN"),'Point Schedule'!$B$85,IF(AND($F34="SCNE",$F34="SCNE"),'Point Schedule'!$B$86,IF(AND($F34="SCA",$F34="SCA"),'Point Schedule'!$B$87,IF(AND($F34="SCAE",$F34="SCAE"),'Point Schedule'!$B$88,IF(AND($F34="SCE",$F34="SCE"),'Point Schedule'!$B$89,IF(AND($F34="SCM",$F34="SCM"),'Point Schedule'!$B$91,IF(AND($F34="SCME",$F34="SCME"),'Point Schedule'!$B$92,IF(AND($F34="SCEE",$F34="SCEE"),'Point Schedule'!$B$89,0))))))))</f>
        <v>0</v>
      </c>
      <c r="O34" s="96">
        <f>IF(AND($G34="SIN",$G34="SIN"),'Point Schedule'!$C$85,IF(AND($G34="SINE",$G34="SINE"),'Point Schedule'!$C$86,IF(AND($G34="SIA",$G34="SIA"),'Point Schedule'!$C$87,IF(AND($G34="SIAE",$G34="SIAE"),'Point Schedule'!$C$88,IF(AND($G34="SIE",$G34="SIE"),'Point Schedule'!$C$89,IF(AND($G34="SIM",$G34="SIM"),'Point Schedule'!$C$91,IF(AND($G34="SIME",$G34="SIME"),'Point Schedule'!$C$92,IF(AND($G34="SIEE",$G34="SIEE"),'Point Schedule'!$C$89,0))))))))</f>
        <v>0</v>
      </c>
      <c r="P34" s="96">
        <f>IF(AND($H34="SEN",$H34="SEN"),'Point Schedule'!$D$85,IF(AND($H34="SENE",$H34="SENE"),'Point Schedule'!$D$86,IF(AND($H34="SEA",$H34="SEA"),'Point Schedule'!$D$87,IF(AND($H34="SEAE",$H34="SEAE"),'Point Schedule'!$D$88,IF(AND($H34="SEE",$H34="SEE"),'Point Schedule'!$D$89,IF(AND($H34="SEM",$H34="SEM"),'Point Schedule'!$D$91,IF(AND($H34="SEME",$H34="SEME"),'Point Schedule'!$D$92,IF(AND($H34="SEEE",$H34="SEEE"),'Point Schedule'!$D$89,0))))))))</f>
        <v>0</v>
      </c>
      <c r="Q34" s="96">
        <f>IF(AND($I34="SBN",$I34="SBN"),'Point Schedule'!$E$85,IF(AND($I34="SBNE",$I34="SBNE"),'Point Schedule'!$E$86,IF(AND($I34="SBA",$I34="SBA"),'Point Schedule'!$E$87,IF(AND($I34="SBAE",$I34="SBAE"),'Point Schedule'!$E$88,IF(AND($I34="SBE",$I34="SBE"),'Point Schedule'!$E$89,IF(AND($I34="SBM",$I34="SBM"),'Point Schedule'!$E$91,IF(AND($I34="SBME",$I34="SBME"),'Point Schedule'!$E$92,IF(AND($I34="SBEE",$I34="SBEE"),'Point Schedule'!$E$89,0))))))))</f>
        <v>0</v>
      </c>
      <c r="R34" s="96">
        <f>IF(AND($J34="SHDN",$J34="SHDN"),'Point Schedule'!$F$85,IF(AND($J34="SHDNE",$J34="SHDNE"),'Point Schedule'!$F$86,IF(AND($J34="SHDA",$J34="SHDA"),'Point Schedule'!$F$87,IF(AND($J34="SHDAE",$J34="SHDAE"),'Point Schedule'!$F$88,IF(AND($J34="SHDE",$J34="SHDE"),'Point Schedule'!$F$89,IF(AND(J34="SHDM",$J34="SHDM"),'Point Schedule'!$F$91,IF(AND($J34="SHDME",$J34="SHDME"),'Point Schedule'!$F$92,IF(AND($J34="SHDEE",$J34="SHDEE"),'Point Schedule'!$F$89,0))))))))</f>
        <v>0</v>
      </c>
      <c r="S34" s="96">
        <f>IF(AND($K34="SND",$K34="SND"),'Point Schedule'!$G$85,0)</f>
        <v>0</v>
      </c>
      <c r="T34" s="96">
        <f>IF(AND($L34="SWN",$L34="SWN"),'Point Schedule'!$H$85,IF(AND($L34="SWNE",$L34="SWNE"),'Point Schedule'!$H$86,IF(AND($L34="SWA",$L34="SWA"),'Point Schedule'!$H$87,IF(AND($L34="SWAE",$L34="SWAE"),'Point Schedule'!$H$88,IF(AND($L34="SWE",$L34="SWE"),'Point Schedule'!$H$89,IF(AND($L34="SWM",$L34="SWM"),'Point Schedule'!$H$91,IF(AND($L34="SWME",$L34="SWME"),'Point Schedule'!$H$92,IF(AND($L34="SWEE",$L34="SWEE"),'Point Schedule'!$H$89,0))))))))</f>
        <v>0</v>
      </c>
      <c r="U34" s="761"/>
      <c r="V34" s="3"/>
      <c r="W34" s="3"/>
      <c r="X34" s="3"/>
      <c r="Y34" s="3"/>
      <c r="Z34" s="3"/>
      <c r="AA34" s="3"/>
      <c r="AB34" s="3"/>
      <c r="AC34" s="3"/>
      <c r="AD34" s="3"/>
    </row>
    <row r="35" spans="1:30" ht="20.149999999999999" customHeight="1" x14ac:dyDescent="0.6">
      <c r="A35" s="387"/>
      <c r="B35" s="204"/>
      <c r="C35" s="545"/>
      <c r="D35" s="547"/>
      <c r="E35" s="205"/>
      <c r="F35" s="205"/>
      <c r="G35" s="205"/>
      <c r="H35" s="205"/>
      <c r="I35" s="205"/>
      <c r="J35" s="206"/>
      <c r="K35" s="206"/>
      <c r="L35" s="206"/>
      <c r="M35" s="113">
        <f>IF($E35="Yes",'Point Schedule'!$B$93,0)</f>
        <v>0</v>
      </c>
      <c r="N35" s="96">
        <f>IF(AND($F35="SCN",$F35="SCN"),'Point Schedule'!$B$85,IF(AND($F35="SCNE",$F35="SCNE"),'Point Schedule'!$B$86,IF(AND($F35="SCA",$F35="SCA"),'Point Schedule'!$B$87,IF(AND($F35="SCAE",$F35="SCAE"),'Point Schedule'!$B$88,IF(AND($F35="SCE",$F35="SCE"),'Point Schedule'!$B$89,IF(AND($F35="SCM",$F35="SCM"),'Point Schedule'!$B$91,IF(AND($F35="SCME",$F35="SCME"),'Point Schedule'!$B$92,IF(AND($F35="SCEE",$F35="SCEE"),'Point Schedule'!$B$89,0))))))))</f>
        <v>0</v>
      </c>
      <c r="O35" s="96">
        <f>IF(AND($G35="SIN",$G35="SIN"),'Point Schedule'!$C$85,IF(AND($G35="SINE",$G35="SINE"),'Point Schedule'!$C$86,IF(AND($G35="SIA",$G35="SIA"),'Point Schedule'!$C$87,IF(AND($G35="SIAE",$G35="SIAE"),'Point Schedule'!$C$88,IF(AND($G35="SIE",$G35="SIE"),'Point Schedule'!$C$89,IF(AND($G35="SIM",$G35="SIM"),'Point Schedule'!$C$91,IF(AND($G35="SIME",$G35="SIME"),'Point Schedule'!$C$92,IF(AND($G35="SIEE",$G35="SIEE"),'Point Schedule'!$C$89,0))))))))</f>
        <v>0</v>
      </c>
      <c r="P35" s="96">
        <f>IF(AND($H35="SEN",$H35="SEN"),'Point Schedule'!$D$85,IF(AND($H35="SENE",$H35="SENE"),'Point Schedule'!$D$86,IF(AND($H35="SEA",$H35="SEA"),'Point Schedule'!$D$87,IF(AND($H35="SEAE",$H35="SEAE"),'Point Schedule'!$D$88,IF(AND($H35="SEE",$H35="SEE"),'Point Schedule'!$D$89,IF(AND($H35="SEM",$H35="SEM"),'Point Schedule'!$D$91,IF(AND($H35="SEME",$H35="SEME"),'Point Schedule'!$D$92,IF(AND($H35="SEEE",$H35="SEEE"),'Point Schedule'!$D$89,0))))))))</f>
        <v>0</v>
      </c>
      <c r="Q35" s="96">
        <f>IF(AND($I35="SBN",$I35="SBN"),'Point Schedule'!$E$85,IF(AND($I35="SBNE",$I35="SBNE"),'Point Schedule'!$E$86,IF(AND($I35="SBA",$I35="SBA"),'Point Schedule'!$E$87,IF(AND($I35="SBAE",$I35="SBAE"),'Point Schedule'!$E$88,IF(AND($I35="SBE",$I35="SBE"),'Point Schedule'!$E$89,IF(AND($I35="SBM",$I35="SBM"),'Point Schedule'!$E$91,IF(AND($I35="SBME",$I35="SBME"),'Point Schedule'!$E$92,IF(AND($I35="SBEE",$I35="SBEE"),'Point Schedule'!$E$89,0))))))))</f>
        <v>0</v>
      </c>
      <c r="R35" s="96">
        <f>IF(AND($J35="SHDN",$J35="SHDN"),'Point Schedule'!$F$85,IF(AND($J35="SHDNE",$J35="SHDNE"),'Point Schedule'!$F$86,IF(AND($J35="SHDA",$J35="SHDA"),'Point Schedule'!$F$87,IF(AND($J35="SHDAE",$J35="SHDAE"),'Point Schedule'!$F$88,IF(AND($J35="SHDE",$J35="SHDE"),'Point Schedule'!$F$89,IF(AND(J35="SHDM",$J35="SHDM"),'Point Schedule'!$F$91,IF(AND($J35="SHDME",$J35="SHDME"),'Point Schedule'!$F$92,IF(AND($J35="SHDEE",$J35="SHDEE"),'Point Schedule'!$F$89,0))))))))</f>
        <v>0</v>
      </c>
      <c r="S35" s="96">
        <f>IF(AND($K35="SND",$K35="SND"),'Point Schedule'!$G$85,0)</f>
        <v>0</v>
      </c>
      <c r="T35" s="96">
        <f>IF(AND($L35="SWN",$L35="SWN"),'Point Schedule'!$H$85,IF(AND($L35="SWNE",$L35="SWNE"),'Point Schedule'!$H$86,IF(AND($L35="SWA",$L35="SWA"),'Point Schedule'!$H$87,IF(AND($L35="SWAE",$L35="SWAE"),'Point Schedule'!$H$88,IF(AND($L35="SWE",$L35="SWE"),'Point Schedule'!$H$89,IF(AND($L35="SWM",$L35="SWM"),'Point Schedule'!$H$91,IF(AND($L35="SWME",$L35="SWME"),'Point Schedule'!$H$92,IF(AND($L35="SWEE",$L35="SWEE"),'Point Schedule'!$H$89,0))))))))</f>
        <v>0</v>
      </c>
      <c r="U35" s="761"/>
      <c r="V35" s="3"/>
      <c r="W35" s="3"/>
      <c r="X35" s="3"/>
      <c r="Y35" s="3"/>
      <c r="Z35" s="3"/>
      <c r="AA35" s="3"/>
      <c r="AB35" s="3"/>
      <c r="AC35" s="3"/>
      <c r="AD35" s="3"/>
    </row>
    <row r="36" spans="1:30" ht="20.149999999999999" customHeight="1" x14ac:dyDescent="0.6">
      <c r="A36" s="387"/>
      <c r="B36" s="204"/>
      <c r="C36" s="545"/>
      <c r="D36" s="547"/>
      <c r="E36" s="205"/>
      <c r="F36" s="205"/>
      <c r="G36" s="205"/>
      <c r="H36" s="205"/>
      <c r="I36" s="205"/>
      <c r="J36" s="206"/>
      <c r="K36" s="206"/>
      <c r="L36" s="206"/>
      <c r="M36" s="113">
        <f>IF($E36="Yes",'Point Schedule'!$B$93,0)</f>
        <v>0</v>
      </c>
      <c r="N36" s="96">
        <f>IF(AND($F36="SCN",$F36="SCN"),'Point Schedule'!$B$85,IF(AND($F36="SCNE",$F36="SCNE"),'Point Schedule'!$B$86,IF(AND($F36="SCA",$F36="SCA"),'Point Schedule'!$B$87,IF(AND($F36="SCAE",$F36="SCAE"),'Point Schedule'!$B$88,IF(AND($F36="SCE",$F36="SCE"),'Point Schedule'!$B$89,IF(AND($F36="SCM",$F36="SCM"),'Point Schedule'!$B$91,IF(AND($F36="SCME",$F36="SCME"),'Point Schedule'!$B$92,IF(AND($F36="SCEE",$F36="SCEE"),'Point Schedule'!$B$89,0))))))))</f>
        <v>0</v>
      </c>
      <c r="O36" s="96">
        <f>IF(AND($G36="SIN",$G36="SIN"),'Point Schedule'!$C$85,IF(AND($G36="SINE",$G36="SINE"),'Point Schedule'!$C$86,IF(AND($G36="SIA",$G36="SIA"),'Point Schedule'!$C$87,IF(AND($G36="SIAE",$G36="SIAE"),'Point Schedule'!$C$88,IF(AND($G36="SIE",$G36="SIE"),'Point Schedule'!$C$89,IF(AND($G36="SIM",$G36="SIM"),'Point Schedule'!$C$91,IF(AND($G36="SIME",$G36="SIME"),'Point Schedule'!$C$92,IF(AND($G36="SIEE",$G36="SIEE"),'Point Schedule'!$C$89,0))))))))</f>
        <v>0</v>
      </c>
      <c r="P36" s="96">
        <f>IF(AND($H36="SEN",$H36="SEN"),'Point Schedule'!$D$85,IF(AND($H36="SENE",$H36="SENE"),'Point Schedule'!$D$86,IF(AND($H36="SEA",$H36="SEA"),'Point Schedule'!$D$87,IF(AND($H36="SEAE",$H36="SEAE"),'Point Schedule'!$D$88,IF(AND($H36="SEE",$H36="SEE"),'Point Schedule'!$D$89,IF(AND($H36="SEM",$H36="SEM"),'Point Schedule'!$D$91,IF(AND($H36="SEME",$H36="SEME"),'Point Schedule'!$D$92,IF(AND($H36="SEEE",$H36="SEEE"),'Point Schedule'!$D$89,0))))))))</f>
        <v>0</v>
      </c>
      <c r="Q36" s="96">
        <f>IF(AND($I36="SBN",$I36="SBN"),'Point Schedule'!$E$85,IF(AND($I36="SBNE",$I36="SBNE"),'Point Schedule'!$E$86,IF(AND($I36="SBA",$I36="SBA"),'Point Schedule'!$E$87,IF(AND($I36="SBAE",$I36="SBAE"),'Point Schedule'!$E$88,IF(AND($I36="SBE",$I36="SBE"),'Point Schedule'!$E$89,IF(AND($I36="SBM",$I36="SBM"),'Point Schedule'!$E$91,IF(AND($I36="SBME",$I36="SBME"),'Point Schedule'!$E$92,IF(AND($I36="SBEE",$I36="SBEE"),'Point Schedule'!$E$89,0))))))))</f>
        <v>0</v>
      </c>
      <c r="R36" s="96">
        <f>IF(AND($J36="SHDN",$J36="SHDN"),'Point Schedule'!$F$85,IF(AND($J36="SHDNE",$J36="SHDNE"),'Point Schedule'!$F$86,IF(AND($J36="SHDA",$J36="SHDA"),'Point Schedule'!$F$87,IF(AND($J36="SHDAE",$J36="SHDAE"),'Point Schedule'!$F$88,IF(AND($J36="SHDE",$J36="SHDE"),'Point Schedule'!$F$89,IF(AND(J36="SHDM",$J36="SHDM"),'Point Schedule'!$F$91,IF(AND($J36="SHDME",$J36="SHDME"),'Point Schedule'!$F$92,IF(AND($J36="SHDEE",$J36="SHDEE"),'Point Schedule'!$F$89,0))))))))</f>
        <v>0</v>
      </c>
      <c r="S36" s="96">
        <f>IF(AND($K36="SND",$K36="SND"),'Point Schedule'!$G$85,0)</f>
        <v>0</v>
      </c>
      <c r="T36" s="96">
        <f>IF(AND($L36="SWN",$L36="SWN"),'Point Schedule'!$H$85,IF(AND($L36="SWNE",$L36="SWNE"),'Point Schedule'!$H$86,IF(AND($L36="SWA",$L36="SWA"),'Point Schedule'!$H$87,IF(AND($L36="SWAE",$L36="SWAE"),'Point Schedule'!$H$88,IF(AND($L36="SWE",$L36="SWE"),'Point Schedule'!$H$89,IF(AND($L36="SWM",$L36="SWM"),'Point Schedule'!$H$91,IF(AND($L36="SWME",$L36="SWME"),'Point Schedule'!$H$92,IF(AND($L36="SWEE",$L36="SWEE"),'Point Schedule'!$H$89,0))))))))</f>
        <v>0</v>
      </c>
      <c r="U36" s="761"/>
      <c r="V36" s="3"/>
      <c r="W36" s="3"/>
      <c r="X36" s="3"/>
      <c r="Y36" s="3"/>
      <c r="Z36" s="3"/>
      <c r="AA36" s="3"/>
      <c r="AB36" s="3"/>
      <c r="AC36" s="3"/>
      <c r="AD36" s="3"/>
    </row>
    <row r="37" spans="1:30" ht="20.149999999999999" customHeight="1" x14ac:dyDescent="0.6">
      <c r="A37" s="387"/>
      <c r="B37" s="204"/>
      <c r="C37" s="545"/>
      <c r="D37" s="547"/>
      <c r="E37" s="205"/>
      <c r="F37" s="205"/>
      <c r="G37" s="205"/>
      <c r="H37" s="205"/>
      <c r="I37" s="205"/>
      <c r="J37" s="206"/>
      <c r="K37" s="206"/>
      <c r="L37" s="206"/>
      <c r="M37" s="113">
        <f>IF($E37="Yes",'Point Schedule'!$B$93,0)</f>
        <v>0</v>
      </c>
      <c r="N37" s="96">
        <f>IF(AND($F37="SCN",$F37="SCN"),'Point Schedule'!$B$85,IF(AND($F37="SCNE",$F37="SCNE"),'Point Schedule'!$B$86,IF(AND($F37="SCA",$F37="SCA"),'Point Schedule'!$B$87,IF(AND($F37="SCAE",$F37="SCAE"),'Point Schedule'!$B$88,IF(AND($F37="SCE",$F37="SCE"),'Point Schedule'!$B$89,IF(AND($F37="SCM",$F37="SCM"),'Point Schedule'!$B$91,IF(AND($F37="SCME",$F37="SCME"),'Point Schedule'!$B$92,IF(AND($F37="SCEE",$F37="SCEE"),'Point Schedule'!$B$89,0))))))))</f>
        <v>0</v>
      </c>
      <c r="O37" s="96">
        <f>IF(AND($G37="SIN",$G37="SIN"),'Point Schedule'!$C$85,IF(AND($G37="SINE",$G37="SINE"),'Point Schedule'!$C$86,IF(AND($G37="SIA",$G37="SIA"),'Point Schedule'!$C$87,IF(AND($G37="SIAE",$G37="SIAE"),'Point Schedule'!$C$88,IF(AND($G37="SIE",$G37="SIE"),'Point Schedule'!$C$89,IF(AND($G37="SIM",$G37="SIM"),'Point Schedule'!$C$91,IF(AND($G37="SIME",$G37="SIME"),'Point Schedule'!$C$92,IF(AND($G37="SIEE",$G37="SIEE"),'Point Schedule'!$C$89,0))))))))</f>
        <v>0</v>
      </c>
      <c r="P37" s="96">
        <f>IF(AND($H37="SEN",$H37="SEN"),'Point Schedule'!$D$85,IF(AND($H37="SENE",$H37="SENE"),'Point Schedule'!$D$86,IF(AND($H37="SEA",$H37="SEA"),'Point Schedule'!$D$87,IF(AND($H37="SEAE",$H37="SEAE"),'Point Schedule'!$D$88,IF(AND($H37="SEE",$H37="SEE"),'Point Schedule'!$D$89,IF(AND($H37="SEM",$H37="SEM"),'Point Schedule'!$D$91,IF(AND($H37="SEME",$H37="SEME"),'Point Schedule'!$D$92,IF(AND($H37="SEEE",$H37="SEEE"),'Point Schedule'!$D$89,0))))))))</f>
        <v>0</v>
      </c>
      <c r="Q37" s="96">
        <f>IF(AND($I37="SBN",$I37="SBN"),'Point Schedule'!$E$85,IF(AND($I37="SBNE",$I37="SBNE"),'Point Schedule'!$E$86,IF(AND($I37="SBA",$I37="SBA"),'Point Schedule'!$E$87,IF(AND($I37="SBAE",$I37="SBAE"),'Point Schedule'!$E$88,IF(AND($I37="SBE",$I37="SBE"),'Point Schedule'!$E$89,IF(AND($I37="SBM",$I37="SBM"),'Point Schedule'!$E$91,IF(AND($I37="SBME",$I37="SBME"),'Point Schedule'!$E$92,IF(AND($I37="SBEE",$I37="SBEE"),'Point Schedule'!$E$89,0))))))))</f>
        <v>0</v>
      </c>
      <c r="R37" s="96">
        <f>IF(AND($J37="SHDN",$J37="SHDN"),'Point Schedule'!$F$85,IF(AND($J37="SHDNE",$J37="SHDNE"),'Point Schedule'!$F$86,IF(AND($J37="SHDA",$J37="SHDA"),'Point Schedule'!$F$87,IF(AND($J37="SHDAE",$J37="SHDAE"),'Point Schedule'!$F$88,IF(AND($J37="SHDE",$J37="SHDE"),'Point Schedule'!$F$89,IF(AND(J37="SHDM",$J37="SHDM"),'Point Schedule'!$F$91,IF(AND($J37="SHDME",$J37="SHDME"),'Point Schedule'!$F$92,IF(AND($J37="SHDEE",$J37="SHDEE"),'Point Schedule'!$F$89,0))))))))</f>
        <v>0</v>
      </c>
      <c r="S37" s="96">
        <f>IF(AND($K37="SND",$K37="SND"),'Point Schedule'!$G$85,0)</f>
        <v>0</v>
      </c>
      <c r="T37" s="96">
        <f>IF(AND($L37="SWN",$L37="SWN"),'Point Schedule'!$H$85,IF(AND($L37="SWNE",$L37="SWNE"),'Point Schedule'!$H$86,IF(AND($L37="SWA",$L37="SWA"),'Point Schedule'!$H$87,IF(AND($L37="SWAE",$L37="SWAE"),'Point Schedule'!$H$88,IF(AND($L37="SWE",$L37="SWE"),'Point Schedule'!$H$89,IF(AND($L37="SWM",$L37="SWM"),'Point Schedule'!$H$91,IF(AND($L37="SWME",$L37="SWME"),'Point Schedule'!$H$92,IF(AND($L37="SWEE",$L37="SWEE"),'Point Schedule'!$H$89,0))))))))</f>
        <v>0</v>
      </c>
      <c r="U37" s="761"/>
      <c r="V37" s="3"/>
      <c r="W37" s="3"/>
      <c r="X37" s="3"/>
      <c r="Y37" s="3"/>
      <c r="Z37" s="3"/>
      <c r="AA37" s="3"/>
      <c r="AB37" s="3"/>
      <c r="AC37" s="3"/>
      <c r="AD37" s="3"/>
    </row>
    <row r="38" spans="1:30" ht="20.149999999999999" customHeight="1" x14ac:dyDescent="0.6">
      <c r="A38" s="387"/>
      <c r="B38" s="204"/>
      <c r="C38" s="545"/>
      <c r="D38" s="547"/>
      <c r="E38" s="205"/>
      <c r="F38" s="205"/>
      <c r="G38" s="205"/>
      <c r="H38" s="205"/>
      <c r="I38" s="205"/>
      <c r="J38" s="206"/>
      <c r="K38" s="206"/>
      <c r="L38" s="206"/>
      <c r="M38" s="113">
        <f>IF($E38="Yes",'Point Schedule'!$B$93,0)</f>
        <v>0</v>
      </c>
      <c r="N38" s="96">
        <f>IF(AND($F38="SCN",$F38="SCN"),'Point Schedule'!$B$85,IF(AND($F38="SCNE",$F38="SCNE"),'Point Schedule'!$B$86,IF(AND($F38="SCA",$F38="SCA"),'Point Schedule'!$B$87,IF(AND($F38="SCAE",$F38="SCAE"),'Point Schedule'!$B$88,IF(AND($F38="SCE",$F38="SCE"),'Point Schedule'!$B$89,IF(AND($F38="SCM",$F38="SCM"),'Point Schedule'!$B$91,IF(AND($F38="SCME",$F38="SCME"),'Point Schedule'!$B$92,IF(AND($F38="SCEE",$F38="SCEE"),'Point Schedule'!$B$89,0))))))))</f>
        <v>0</v>
      </c>
      <c r="O38" s="96">
        <f>IF(AND($G38="SIN",$G38="SIN"),'Point Schedule'!$C$85,IF(AND($G38="SINE",$G38="SINE"),'Point Schedule'!$C$86,IF(AND($G38="SIA",$G38="SIA"),'Point Schedule'!$C$87,IF(AND($G38="SIAE",$G38="SIAE"),'Point Schedule'!$C$88,IF(AND($G38="SIE",$G38="SIE"),'Point Schedule'!$C$89,IF(AND($G38="SIM",$G38="SIM"),'Point Schedule'!$C$91,IF(AND($G38="SIME",$G38="SIME"),'Point Schedule'!$C$92,IF(AND($G38="SIEE",$G38="SIEE"),'Point Schedule'!$C$89,0))))))))</f>
        <v>0</v>
      </c>
      <c r="P38" s="96">
        <f>IF(AND($H38="SEN",$H38="SEN"),'Point Schedule'!$D$85,IF(AND($H38="SENE",$H38="SENE"),'Point Schedule'!$D$86,IF(AND($H38="SEA",$H38="SEA"),'Point Schedule'!$D$87,IF(AND($H38="SEAE",$H38="SEAE"),'Point Schedule'!$D$88,IF(AND($H38="SEE",$H38="SEE"),'Point Schedule'!$D$89,IF(AND($H38="SEM",$H38="SEM"),'Point Schedule'!$D$91,IF(AND($H38="SEME",$H38="SEME"),'Point Schedule'!$D$92,IF(AND($H38="SEEE",$H38="SEEE"),'Point Schedule'!$D$89,0))))))))</f>
        <v>0</v>
      </c>
      <c r="Q38" s="96">
        <f>IF(AND($I38="SBN",$I38="SBN"),'Point Schedule'!$E$85,IF(AND($I38="SBNE",$I38="SBNE"),'Point Schedule'!$E$86,IF(AND($I38="SBA",$I38="SBA"),'Point Schedule'!$E$87,IF(AND($I38="SBAE",$I38="SBAE"),'Point Schedule'!$E$88,IF(AND($I38="SBE",$I38="SBE"),'Point Schedule'!$E$89,IF(AND($I38="SBM",$I38="SBM"),'Point Schedule'!$E$91,IF(AND($I38="SBME",$I38="SBME"),'Point Schedule'!$E$92,IF(AND($I38="SBEE",$I38="SBEE"),'Point Schedule'!$E$89,0))))))))</f>
        <v>0</v>
      </c>
      <c r="R38" s="96">
        <f>IF(AND($J38="SHDN",$J38="SHDN"),'Point Schedule'!$F$85,IF(AND($J38="SHDNE",$J38="SHDNE"),'Point Schedule'!$F$86,IF(AND($J38="SHDA",$J38="SHDA"),'Point Schedule'!$F$87,IF(AND($J38="SHDAE",$J38="SHDAE"),'Point Schedule'!$F$88,IF(AND($J38="SHDE",$J38="SHDE"),'Point Schedule'!$F$89,IF(AND(J38="SHDM",$J38="SHDM"),'Point Schedule'!$F$91,IF(AND($J38="SHDME",$J38="SHDME"),'Point Schedule'!$F$92,IF(AND($J38="SHDEE",$J38="SHDEE"),'Point Schedule'!$F$89,0))))))))</f>
        <v>0</v>
      </c>
      <c r="S38" s="96">
        <f>IF(AND($K38="SND",$K38="SND"),'Point Schedule'!$G$85,0)</f>
        <v>0</v>
      </c>
      <c r="T38" s="96">
        <f>IF(AND($L38="SWN",$L38="SWN"),'Point Schedule'!$H$85,IF(AND($L38="SWNE",$L38="SWNE"),'Point Schedule'!$H$86,IF(AND($L38="SWA",$L38="SWA"),'Point Schedule'!$H$87,IF(AND($L38="SWAE",$L38="SWAE"),'Point Schedule'!$H$88,IF(AND($L38="SWE",$L38="SWE"),'Point Schedule'!$H$89,IF(AND($L38="SWM",$L38="SWM"),'Point Schedule'!$H$91,IF(AND($L38="SWME",$L38="SWME"),'Point Schedule'!$H$92,IF(AND($L38="SWEE",$L38="SWEE"),'Point Schedule'!$H$89,0))))))))</f>
        <v>0</v>
      </c>
      <c r="U38" s="761"/>
      <c r="V38" s="3"/>
      <c r="W38" s="3"/>
      <c r="X38" s="3"/>
      <c r="Y38" s="3"/>
      <c r="Z38" s="3"/>
      <c r="AA38" s="3"/>
      <c r="AB38" s="3"/>
      <c r="AC38" s="3"/>
      <c r="AD38" s="3"/>
    </row>
    <row r="39" spans="1:30" ht="20.149999999999999" customHeight="1" x14ac:dyDescent="0.6">
      <c r="A39" s="387"/>
      <c r="B39" s="204"/>
      <c r="C39" s="545"/>
      <c r="D39" s="547"/>
      <c r="E39" s="205"/>
      <c r="F39" s="205"/>
      <c r="G39" s="205"/>
      <c r="H39" s="205"/>
      <c r="I39" s="205"/>
      <c r="J39" s="206"/>
      <c r="K39" s="206"/>
      <c r="L39" s="206"/>
      <c r="M39" s="113">
        <f>IF($E39="Yes",'Point Schedule'!$B$93,0)</f>
        <v>0</v>
      </c>
      <c r="N39" s="96">
        <f>IF(AND($F39="SCN",$F39="SCN"),'Point Schedule'!$B$85,IF(AND($F39="SCNE",$F39="SCNE"),'Point Schedule'!$B$86,IF(AND($F39="SCA",$F39="SCA"),'Point Schedule'!$B$87,IF(AND($F39="SCAE",$F39="SCAE"),'Point Schedule'!$B$88,IF(AND($F39="SCE",$F39="SCE"),'Point Schedule'!$B$89,IF(AND($F39="SCM",$F39="SCM"),'Point Schedule'!$B$91,IF(AND($F39="SCME",$F39="SCME"),'Point Schedule'!$B$92,IF(AND($F39="SCEE",$F39="SCEE"),'Point Schedule'!$B$89,0))))))))</f>
        <v>0</v>
      </c>
      <c r="O39" s="96">
        <f>IF(AND($G39="SIN",$G39="SIN"),'Point Schedule'!$C$85,IF(AND($G39="SINE",$G39="SINE"),'Point Schedule'!$C$86,IF(AND($G39="SIA",$G39="SIA"),'Point Schedule'!$C$87,IF(AND($G39="SIAE",$G39="SIAE"),'Point Schedule'!$C$88,IF(AND($G39="SIE",$G39="SIE"),'Point Schedule'!$C$89,IF(AND($G39="SIM",$G39="SIM"),'Point Schedule'!$C$91,IF(AND($G39="SIME",$G39="SIME"),'Point Schedule'!$C$92,IF(AND($G39="SIEE",$G39="SIEE"),'Point Schedule'!$C$89,0))))))))</f>
        <v>0</v>
      </c>
      <c r="P39" s="96">
        <f>IF(AND($H39="SEN",$H39="SEN"),'Point Schedule'!$D$85,IF(AND($H39="SENE",$H39="SENE"),'Point Schedule'!$D$86,IF(AND($H39="SEA",$H39="SEA"),'Point Schedule'!$D$87,IF(AND($H39="SEAE",$H39="SEAE"),'Point Schedule'!$D$88,IF(AND($H39="SEE",$H39="SEE"),'Point Schedule'!$D$89,IF(AND($H39="SEM",$H39="SEM"),'Point Schedule'!$D$91,IF(AND($H39="SEME",$H39="SEME"),'Point Schedule'!$D$92,IF(AND($H39="SEEE",$H39="SEEE"),'Point Schedule'!$D$89,0))))))))</f>
        <v>0</v>
      </c>
      <c r="Q39" s="96">
        <f>IF(AND($I39="SBN",$I39="SBN"),'Point Schedule'!$E$85,IF(AND($I39="SBNE",$I39="SBNE"),'Point Schedule'!$E$86,IF(AND($I39="SBA",$I39="SBA"),'Point Schedule'!$E$87,IF(AND($I39="SBAE",$I39="SBAE"),'Point Schedule'!$E$88,IF(AND($I39="SBE",$I39="SBE"),'Point Schedule'!$E$89,IF(AND($I39="SBM",$I39="SBM"),'Point Schedule'!$E$91,IF(AND($I39="SBME",$I39="SBME"),'Point Schedule'!$E$92,IF(AND($I39="SBEE",$I39="SBEE"),'Point Schedule'!$E$89,0))))))))</f>
        <v>0</v>
      </c>
      <c r="R39" s="96">
        <f>IF(AND($J39="SHDN",$J39="SHDN"),'Point Schedule'!$F$85,IF(AND($J39="SHDNE",$J39="SHDNE"),'Point Schedule'!$F$86,IF(AND($J39="SHDA",$J39="SHDA"),'Point Schedule'!$F$87,IF(AND($J39="SHDAE",$J39="SHDAE"),'Point Schedule'!$F$88,IF(AND($J39="SHDE",$J39="SHDE"),'Point Schedule'!$F$89,IF(AND(J39="SHDM",$J39="SHDM"),'Point Schedule'!$F$91,IF(AND($J39="SHDME",$J39="SHDME"),'Point Schedule'!$F$92,IF(AND($J39="SHDEE",$J39="SHDEE"),'Point Schedule'!$F$89,0))))))))</f>
        <v>0</v>
      </c>
      <c r="S39" s="96">
        <f>IF(AND($K39="SND",$K39="SND"),'Point Schedule'!$G$85,0)</f>
        <v>0</v>
      </c>
      <c r="T39" s="96">
        <f>IF(AND($L39="SWN",$L39="SWN"),'Point Schedule'!$H$85,IF(AND($L39="SWNE",$L39="SWNE"),'Point Schedule'!$H$86,IF(AND($L39="SWA",$L39="SWA"),'Point Schedule'!$H$87,IF(AND($L39="SWAE",$L39="SWAE"),'Point Schedule'!$H$88,IF(AND($L39="SWE",$L39="SWE"),'Point Schedule'!$H$89,IF(AND($L39="SWM",$L39="SWM"),'Point Schedule'!$H$91,IF(AND($L39="SWME",$L39="SWME"),'Point Schedule'!$H$92,IF(AND($L39="SWEE",$L39="SWEE"),'Point Schedule'!$H$89,0))))))))</f>
        <v>0</v>
      </c>
      <c r="U39" s="761"/>
      <c r="V39" s="3"/>
      <c r="W39" s="3"/>
      <c r="X39" s="3"/>
      <c r="Y39" s="3"/>
      <c r="Z39" s="3"/>
      <c r="AA39" s="3"/>
      <c r="AB39" s="3"/>
      <c r="AC39" s="3"/>
      <c r="AD39" s="3"/>
    </row>
    <row r="40" spans="1:30" ht="20.149999999999999" customHeight="1" x14ac:dyDescent="0.6">
      <c r="A40" s="387"/>
      <c r="B40" s="204"/>
      <c r="C40" s="545"/>
      <c r="D40" s="547"/>
      <c r="E40" s="205"/>
      <c r="F40" s="205"/>
      <c r="G40" s="205"/>
      <c r="H40" s="205"/>
      <c r="I40" s="205"/>
      <c r="J40" s="206"/>
      <c r="K40" s="206"/>
      <c r="L40" s="206"/>
      <c r="M40" s="113">
        <f>IF($E40="Yes",'Point Schedule'!$B$93,0)</f>
        <v>0</v>
      </c>
      <c r="N40" s="96">
        <f>IF(AND($F40="SCN",$F40="SCN"),'Point Schedule'!$B$85,IF(AND($F40="SCNE",$F40="SCNE"),'Point Schedule'!$B$86,IF(AND($F40="SCA",$F40="SCA"),'Point Schedule'!$B$87,IF(AND($F40="SCAE",$F40="SCAE"),'Point Schedule'!$B$88,IF(AND($F40="SCE",$F40="SCE"),'Point Schedule'!$B$89,IF(AND($F40="SCM",$F40="SCM"),'Point Schedule'!$B$91,IF(AND($F40="SCME",$F40="SCME"),'Point Schedule'!$B$92,IF(AND($F40="SCEE",$F40="SCEE"),'Point Schedule'!$B$89,0))))))))</f>
        <v>0</v>
      </c>
      <c r="O40" s="96">
        <f>IF(AND($G40="SIN",$G40="SIN"),'Point Schedule'!$C$85,IF(AND($G40="SINE",$G40="SINE"),'Point Schedule'!$C$86,IF(AND($G40="SIA",$G40="SIA"),'Point Schedule'!$C$87,IF(AND($G40="SIAE",$G40="SIAE"),'Point Schedule'!$C$88,IF(AND($G40="SIE",$G40="SIE"),'Point Schedule'!$C$89,IF(AND($G40="SIM",$G40="SIM"),'Point Schedule'!$C$91,IF(AND($G40="SIME",$G40="SIME"),'Point Schedule'!$C$92,IF(AND($G40="SIEE",$G40="SIEE"),'Point Schedule'!$C$89,0))))))))</f>
        <v>0</v>
      </c>
      <c r="P40" s="96">
        <f>IF(AND($H40="SEN",$H40="SEN"),'Point Schedule'!$D$85,IF(AND($H40="SENE",$H40="SENE"),'Point Schedule'!$D$86,IF(AND($H40="SEA",$H40="SEA"),'Point Schedule'!$D$87,IF(AND($H40="SEAE",$H40="SEAE"),'Point Schedule'!$D$88,IF(AND($H40="SEE",$H40="SEE"),'Point Schedule'!$D$89,IF(AND($H40="SEM",$H40="SEM"),'Point Schedule'!$D$91,IF(AND($H40="SEME",$H40="SEME"),'Point Schedule'!$D$92,IF(AND($H40="SEEE",$H40="SEEE"),'Point Schedule'!$D$89,0))))))))</f>
        <v>0</v>
      </c>
      <c r="Q40" s="96">
        <f>IF(AND($I40="SBN",$I40="SBN"),'Point Schedule'!$E$85,IF(AND($I40="SBNE",$I40="SBNE"),'Point Schedule'!$E$86,IF(AND($I40="SBA",$I40="SBA"),'Point Schedule'!$E$87,IF(AND($I40="SBAE",$I40="SBAE"),'Point Schedule'!$E$88,IF(AND($I40="SBE",$I40="SBE"),'Point Schedule'!$E$89,IF(AND($I40="SBM",$I40="SBM"),'Point Schedule'!$E$91,IF(AND($I40="SBME",$I40="SBME"),'Point Schedule'!$E$92,IF(AND($I40="SBEE",$I40="SBEE"),'Point Schedule'!$E$89,0))))))))</f>
        <v>0</v>
      </c>
      <c r="R40" s="96">
        <f>IF(AND($J40="SHDN",$J40="SHDN"),'Point Schedule'!$F$85,IF(AND($J40="SHDNE",$J40="SHDNE"),'Point Schedule'!$F$86,IF(AND($J40="SHDA",$J40="SHDA"),'Point Schedule'!$F$87,IF(AND($J40="SHDAE",$J40="SHDAE"),'Point Schedule'!$F$88,IF(AND($J40="SHDE",$J40="SHDE"),'Point Schedule'!$F$89,IF(AND(J40="SHDM",$J40="SHDM"),'Point Schedule'!$F$91,IF(AND($J40="SHDME",$J40="SHDME"),'Point Schedule'!$F$92,IF(AND($J40="SHDEE",$J40="SHDEE"),'Point Schedule'!$F$89,0))))))))</f>
        <v>0</v>
      </c>
      <c r="S40" s="96">
        <f>IF(AND($K40="SND",$K40="SND"),'Point Schedule'!$G$85,0)</f>
        <v>0</v>
      </c>
      <c r="T40" s="96">
        <f>IF(AND($L40="SWN",$L40="SWN"),'Point Schedule'!$H$85,IF(AND($L40="SWNE",$L40="SWNE"),'Point Schedule'!$H$86,IF(AND($L40="SWA",$L40="SWA"),'Point Schedule'!$H$87,IF(AND($L40="SWAE",$L40="SWAE"),'Point Schedule'!$H$88,IF(AND($L40="SWE",$L40="SWE"),'Point Schedule'!$H$89,IF(AND($L40="SWM",$L40="SWM"),'Point Schedule'!$H$91,IF(AND($L40="SWME",$L40="SWME"),'Point Schedule'!$H$92,IF(AND($L40="SWEE",$L40="SWEE"),'Point Schedule'!$H$89,0))))))))</f>
        <v>0</v>
      </c>
      <c r="U40" s="761"/>
      <c r="V40" s="3"/>
      <c r="W40" s="3"/>
      <c r="X40" s="3"/>
      <c r="Y40" s="3"/>
      <c r="Z40" s="3"/>
      <c r="AA40" s="3"/>
      <c r="AB40" s="3"/>
      <c r="AC40" s="3"/>
      <c r="AD40" s="3"/>
    </row>
    <row r="41" spans="1:30" ht="20.149999999999999" customHeight="1" thickBot="1" x14ac:dyDescent="0.75">
      <c r="A41" s="387"/>
      <c r="B41" s="212"/>
      <c r="C41" s="850"/>
      <c r="D41" s="851"/>
      <c r="E41" s="205"/>
      <c r="F41" s="205"/>
      <c r="G41" s="205"/>
      <c r="H41" s="205"/>
      <c r="I41" s="205"/>
      <c r="J41" s="206"/>
      <c r="K41" s="206"/>
      <c r="L41" s="206"/>
      <c r="M41" s="113">
        <f>IF($E41="Yes",'Point Schedule'!$B$93,0)</f>
        <v>0</v>
      </c>
      <c r="N41" s="96">
        <f>IF(AND($F41="SCN",$F41="SCN"),'Point Schedule'!$B$85,IF(AND($F41="SCNE",$F41="SCNE"),'Point Schedule'!$B$86,IF(AND($F41="SCA",$F41="SCA"),'Point Schedule'!$B$87,IF(AND($F41="SCAE",$F41="SCAE"),'Point Schedule'!$B$88,IF(AND($F41="SCE",$F41="SCE"),'Point Schedule'!$B$89,IF(AND($F41="SCM",$F41="SCM"),'Point Schedule'!$B$91,IF(AND($F41="SCME",$F41="SCME"),'Point Schedule'!$B$92,IF(AND($F41="SCEE",$F41="SCEE"),'Point Schedule'!$B$89,0))))))))</f>
        <v>0</v>
      </c>
      <c r="O41" s="96">
        <f>IF(AND($G41="SIN",$G41="SIN"),'Point Schedule'!$C$85,IF(AND($G41="SINE",$G41="SINE"),'Point Schedule'!$C$86,IF(AND($G41="SIA",$G41="SIA"),'Point Schedule'!$C$87,IF(AND($G41="SIAE",$G41="SIAE"),'Point Schedule'!$C$88,IF(AND($G41="SIE",$G41="SIE"),'Point Schedule'!$C$89,IF(AND($G41="SIM",$G41="SIM"),'Point Schedule'!$C$91,IF(AND($G41="SIME",$G41="SIME"),'Point Schedule'!$C$92,IF(AND($G41="SIEE",$G41="SIEE"),'Point Schedule'!$C$89,0))))))))</f>
        <v>0</v>
      </c>
      <c r="P41" s="96">
        <f>IF(AND($H41="SEN",$H41="SEN"),'Point Schedule'!$D$85,IF(AND($H41="SENE",$H41="SENE"),'Point Schedule'!$D$86,IF(AND($H41="SEA",$H41="SEA"),'Point Schedule'!$D$87,IF(AND($H41="SEAE",$H41="SEAE"),'Point Schedule'!$D$88,IF(AND($H41="SEE",$H41="SEE"),'Point Schedule'!$D$89,IF(AND($H41="SEM",$H41="SEM"),'Point Schedule'!$D$91,IF(AND($H41="SEME",$H41="SEME"),'Point Schedule'!$D$92,IF(AND($H41="SEEE",$H41="SEEE"),'Point Schedule'!$D$89,0))))))))</f>
        <v>0</v>
      </c>
      <c r="Q41" s="96">
        <f>IF(AND($I41="SBN",$I41="SBN"),'Point Schedule'!$E$85,IF(AND($I41="SBNE",$I41="SBNE"),'Point Schedule'!$E$86,IF(AND($I41="SBA",$I41="SBA"),'Point Schedule'!$E$87,IF(AND($I41="SBAE",$I41="SBAE"),'Point Schedule'!$E$88,IF(AND($I41="SBE",$I41="SBE"),'Point Schedule'!$E$89,IF(AND($I41="SBM",$I41="SBM"),'Point Schedule'!$E$91,IF(AND($I41="SBME",$I41="SBME"),'Point Schedule'!$E$92,IF(AND($I41="SBEE",$I41="SBEE"),'Point Schedule'!$E$89,0))))))))</f>
        <v>0</v>
      </c>
      <c r="R41" s="96">
        <f>IF(AND($J41="SHDN",$J41="SHDN"),'Point Schedule'!$F$85,IF(AND($J41="SHDNE",$J41="SHDNE"),'Point Schedule'!$F$86,IF(AND($J41="SHDA",$J41="SHDA"),'Point Schedule'!$F$87,IF(AND($J41="SHDAE",$J41="SHDAE"),'Point Schedule'!$F$88,IF(AND($J41="SHDE",$J41="SHDE"),'Point Schedule'!$F$89,IF(AND(J41="SHDM",$J41="SHDM"),'Point Schedule'!$F$91,IF(AND($J41="SHDME",$J41="SHDME"),'Point Schedule'!$F$92,IF(AND($J41="SHDEE",$J41="SHDEE"),'Point Schedule'!$F$89,0))))))))</f>
        <v>0</v>
      </c>
      <c r="S41" s="96">
        <f>IF(AND($K41="SND",$K41="SND"),'Point Schedule'!$G$85,0)</f>
        <v>0</v>
      </c>
      <c r="T41" s="96">
        <f>IF(AND($L41="SWN",$L41="SWN"),'Point Schedule'!$H$85,IF(AND($L41="SWNE",$L41="SWNE"),'Point Schedule'!$H$86,IF(AND($L41="SWA",$L41="SWA"),'Point Schedule'!$H$87,IF(AND($L41="SWAE",$L41="SWAE"),'Point Schedule'!$H$88,IF(AND($L41="SWE",$L41="SWE"),'Point Schedule'!$H$89,IF(AND($L41="SWM",$L41="SWM"),'Point Schedule'!$H$91,IF(AND($L41="SWME",$L41="SWME"),'Point Schedule'!$H$92,IF(AND($L41="SWEE",$L41="SWEE"),'Point Schedule'!$H$89,0))))))))</f>
        <v>0</v>
      </c>
      <c r="U41" s="761"/>
      <c r="V41" s="3"/>
      <c r="W41" s="3"/>
      <c r="X41" s="3"/>
      <c r="Y41" s="3"/>
      <c r="Z41" s="3"/>
      <c r="AA41" s="3"/>
      <c r="AB41" s="3"/>
      <c r="AC41" s="3"/>
      <c r="AD41" s="3"/>
    </row>
    <row r="42" spans="1:30" ht="30" customHeight="1" thickTop="1" thickBot="1" x14ac:dyDescent="0.75">
      <c r="A42" s="387"/>
      <c r="B42" s="127" t="s">
        <v>738</v>
      </c>
      <c r="C42" s="111">
        <f>SUM(M13:T41)</f>
        <v>0</v>
      </c>
      <c r="D42" s="94"/>
      <c r="E42" s="94"/>
      <c r="F42" s="94"/>
      <c r="G42" s="94"/>
      <c r="H42" s="94"/>
      <c r="I42" s="94"/>
      <c r="J42" s="94"/>
      <c r="K42" s="94"/>
      <c r="L42" s="94"/>
      <c r="M42" s="94"/>
      <c r="N42" s="94"/>
      <c r="O42" s="94"/>
      <c r="P42" s="94"/>
      <c r="Q42" s="94"/>
      <c r="R42" s="94"/>
      <c r="S42" s="94"/>
      <c r="T42" s="94"/>
      <c r="U42" s="761"/>
      <c r="V42" s="3"/>
      <c r="W42" s="3"/>
      <c r="X42" s="3"/>
      <c r="Y42" s="3"/>
      <c r="Z42" s="3"/>
      <c r="AA42" s="3"/>
      <c r="AB42" s="3"/>
      <c r="AC42" s="3"/>
      <c r="AD42" s="3"/>
    </row>
    <row r="43" spans="1:30" ht="14.5" thickTop="1" thickBot="1" x14ac:dyDescent="0.75">
      <c r="A43" s="551"/>
      <c r="B43" s="759"/>
      <c r="C43" s="759"/>
      <c r="D43" s="759"/>
      <c r="E43" s="759"/>
      <c r="F43" s="759"/>
      <c r="G43" s="759"/>
      <c r="H43" s="759"/>
      <c r="I43" s="759"/>
      <c r="J43" s="759"/>
      <c r="K43" s="759"/>
      <c r="L43" s="759"/>
      <c r="M43" s="759"/>
      <c r="N43" s="759"/>
      <c r="O43" s="759"/>
      <c r="P43" s="759"/>
      <c r="Q43" s="759"/>
      <c r="R43" s="759"/>
      <c r="S43" s="759"/>
      <c r="T43" s="759"/>
      <c r="U43" s="760"/>
    </row>
    <row r="44" spans="1:30" ht="13.75" thickTop="1" x14ac:dyDescent="0.6"/>
    <row r="45" spans="1:30" x14ac:dyDescent="0.6">
      <c r="P45" s="1"/>
      <c r="Q45" s="1"/>
      <c r="R45" s="1"/>
    </row>
    <row r="46" spans="1:30" x14ac:dyDescent="0.6">
      <c r="F46" s="1"/>
    </row>
    <row r="49" spans="19:19" ht="13.5" customHeight="1" x14ac:dyDescent="0.6"/>
    <row r="50" spans="19:19" x14ac:dyDescent="0.6">
      <c r="S50" s="1"/>
    </row>
  </sheetData>
  <sheetProtection algorithmName="SHA-512" hashValue="EC/9I4TLMfbOBQNgKs6ijN7CEPdVaPI6d1jXxy9ejmUDXrNHzMn8z1IUT/7fhu/yTY+xeYDs8t0HoT8E3no/dA==" saltValue="EJ0S0f5jfCXn5xWIlmqyCw==" spinCount="100000" sheet="1" objects="1" scenarios="1"/>
  <mergeCells count="48">
    <mergeCell ref="C21:D21"/>
    <mergeCell ref="C26:D26"/>
    <mergeCell ref="C25:D25"/>
    <mergeCell ref="C24:D24"/>
    <mergeCell ref="C23:D23"/>
    <mergeCell ref="C22:D22"/>
    <mergeCell ref="C31:D31"/>
    <mergeCell ref="C30:D30"/>
    <mergeCell ref="C29:D29"/>
    <mergeCell ref="C28:D28"/>
    <mergeCell ref="C27:D27"/>
    <mergeCell ref="C36:D36"/>
    <mergeCell ref="C35:D35"/>
    <mergeCell ref="C34:D34"/>
    <mergeCell ref="C33:D33"/>
    <mergeCell ref="C32:D32"/>
    <mergeCell ref="A1:U1"/>
    <mergeCell ref="A2:A42"/>
    <mergeCell ref="B2:T2"/>
    <mergeCell ref="U2:U42"/>
    <mergeCell ref="B3:T3"/>
    <mergeCell ref="B4:F4"/>
    <mergeCell ref="G4:T4"/>
    <mergeCell ref="B5:F5"/>
    <mergeCell ref="G5:T5"/>
    <mergeCell ref="B6:F6"/>
    <mergeCell ref="G6:T6"/>
    <mergeCell ref="B7:F7"/>
    <mergeCell ref="G7:T7"/>
    <mergeCell ref="B10:B11"/>
    <mergeCell ref="C10:D11"/>
    <mergeCell ref="E10:E11"/>
    <mergeCell ref="M10:M11"/>
    <mergeCell ref="A43:U43"/>
    <mergeCell ref="C12:D12"/>
    <mergeCell ref="C13:D13"/>
    <mergeCell ref="C38:D38"/>
    <mergeCell ref="C39:D39"/>
    <mergeCell ref="C40:D40"/>
    <mergeCell ref="C41:D41"/>
    <mergeCell ref="C17:D17"/>
    <mergeCell ref="C16:D16"/>
    <mergeCell ref="C15:D15"/>
    <mergeCell ref="C14:D14"/>
    <mergeCell ref="C18:D18"/>
    <mergeCell ref="C19:D19"/>
    <mergeCell ref="C20:D20"/>
    <mergeCell ref="C37:D37"/>
  </mergeCells>
  <dataValidations count="1">
    <dataValidation type="list" allowBlank="1" showInputMessage="1" showErrorMessage="1" sqref="E13:E41" xr:uid="{4B092233-AEFE-47EE-AC86-47CC96BA220D}">
      <formula1>YN</formula1>
    </dataValidation>
  </dataValidations>
  <pageMargins left="0.7" right="0.7" top="0.75" bottom="0.75" header="0.3" footer="0.3"/>
  <pageSetup scale="34" orientation="portrait" r:id="rId1"/>
  <extLst>
    <ext xmlns:x14="http://schemas.microsoft.com/office/spreadsheetml/2009/9/main" uri="{CCE6A557-97BC-4b89-ADB6-D9C93CAAB3DF}">
      <x14:dataValidations xmlns:xm="http://schemas.microsoft.com/office/excel/2006/main" count="7">
        <x14:dataValidation type="list" allowBlank="1" showInputMessage="1" showErrorMessage="1" xr:uid="{D36E39F6-9A36-496A-B21A-24F05F54B208}">
          <x14:formula1>
            <xm:f>'Pull Down Menus'!$AJ$1:$AJ$8</xm:f>
          </x14:formula1>
          <xm:sqref>F13:F41</xm:sqref>
        </x14:dataValidation>
        <x14:dataValidation type="list" allowBlank="1" showInputMessage="1" showErrorMessage="1" xr:uid="{21E4FD4E-B7C8-4D6C-8573-6E127244FFEB}">
          <x14:formula1>
            <xm:f>'Pull Down Menus'!$AJ$9:$AJ$16</xm:f>
          </x14:formula1>
          <xm:sqref>G13:G41</xm:sqref>
        </x14:dataValidation>
        <x14:dataValidation type="list" allowBlank="1" showInputMessage="1" showErrorMessage="1" xr:uid="{F045680A-7C19-493E-9625-E69E49B46BE1}">
          <x14:formula1>
            <xm:f>'Pull Down Menus'!$AJ$17:$AJ$24</xm:f>
          </x14:formula1>
          <xm:sqref>H13:H41</xm:sqref>
        </x14:dataValidation>
        <x14:dataValidation type="list" allowBlank="1" showInputMessage="1" showErrorMessage="1" xr:uid="{315146C6-9AD3-4CBA-9962-634DC54029C0}">
          <x14:formula1>
            <xm:f>'Pull Down Menus'!$AJ$25:$AJ$32</xm:f>
          </x14:formula1>
          <xm:sqref>I13:I41</xm:sqref>
        </x14:dataValidation>
        <x14:dataValidation type="list" allowBlank="1" showInputMessage="1" showErrorMessage="1" xr:uid="{26278EE1-9774-4D32-BF71-BC01F227CB07}">
          <x14:formula1>
            <xm:f>'Pull Down Menus'!$AJ$33:$AJ$40</xm:f>
          </x14:formula1>
          <xm:sqref>J13:J41</xm:sqref>
        </x14:dataValidation>
        <x14:dataValidation type="list" allowBlank="1" showInputMessage="1" showErrorMessage="1" xr:uid="{935C9474-67E5-4711-B3B9-F6DCC18DD3BF}">
          <x14:formula1>
            <xm:f>'Pull Down Menus'!$AJ$41</xm:f>
          </x14:formula1>
          <xm:sqref>K13:K41</xm:sqref>
        </x14:dataValidation>
        <x14:dataValidation type="list" allowBlank="1" showInputMessage="1" showErrorMessage="1" xr:uid="{A9A7A1C7-4F95-48CD-AC22-837092251868}">
          <x14:formula1>
            <xm:f>'Pull Down Menus'!$AJ$42:$AJ$49</xm:f>
          </x14:formula1>
          <xm:sqref>L13:L41</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P37"/>
  <sheetViews>
    <sheetView zoomScaleNormal="100" workbookViewId="0">
      <selection activeCell="C12" sqref="C12:D12"/>
    </sheetView>
  </sheetViews>
  <sheetFormatPr defaultColWidth="12.6796875" defaultRowHeight="13" x14ac:dyDescent="0.6"/>
  <cols>
    <col min="1" max="1" width="2.6796875" customWidth="1"/>
    <col min="2" max="2" width="12.6796875" customWidth="1"/>
    <col min="3" max="3" width="35.6796875" customWidth="1"/>
    <col min="4" max="4" width="45.6796875" customWidth="1"/>
    <col min="5" max="6" width="12.6796875" customWidth="1"/>
    <col min="7" max="7" width="2.6796875" customWidth="1"/>
  </cols>
  <sheetData>
    <row r="1" spans="1:16" ht="14.5" thickTop="1" thickBot="1" x14ac:dyDescent="0.75">
      <c r="A1" s="742"/>
      <c r="B1" s="743"/>
      <c r="C1" s="743"/>
      <c r="D1" s="743"/>
      <c r="E1" s="743"/>
      <c r="F1" s="743"/>
      <c r="G1" s="744"/>
    </row>
    <row r="2" spans="1:16" ht="25.15" customHeight="1" thickTop="1" thickBot="1" x14ac:dyDescent="0.75">
      <c r="A2" s="387"/>
      <c r="B2" s="745" t="s">
        <v>286</v>
      </c>
      <c r="C2" s="746"/>
      <c r="D2" s="746"/>
      <c r="E2" s="746"/>
      <c r="F2" s="875"/>
      <c r="G2" s="761"/>
    </row>
    <row r="3" spans="1:16" ht="14.5" thickTop="1" thickBot="1" x14ac:dyDescent="0.75">
      <c r="A3" s="387"/>
      <c r="B3" s="881"/>
      <c r="C3" s="881"/>
      <c r="D3" s="881"/>
      <c r="E3" s="881"/>
      <c r="F3" s="881"/>
      <c r="G3" s="761"/>
    </row>
    <row r="4" spans="1:16" ht="20.149999999999999" customHeight="1" thickTop="1" x14ac:dyDescent="0.6">
      <c r="A4" s="387"/>
      <c r="B4" s="563" t="s">
        <v>510</v>
      </c>
      <c r="C4" s="780"/>
      <c r="D4" s="882" t="str">
        <f>SUBSTITUTE(Summary!$D5,,Summary!$D5)</f>
        <v/>
      </c>
      <c r="E4" s="780" t="str">
        <f>SUBSTITUTE(Summary!$D$5,,Summary!$D$5)</f>
        <v/>
      </c>
      <c r="F4" s="883" t="str">
        <f>SUBSTITUTE(Summary!$D$5,,Summary!$D$5)</f>
        <v/>
      </c>
      <c r="G4" s="761"/>
      <c r="H4" s="3"/>
      <c r="I4" s="3"/>
      <c r="J4" s="3"/>
      <c r="K4" s="3"/>
      <c r="L4" s="3"/>
      <c r="M4" s="3"/>
      <c r="N4" s="3"/>
      <c r="O4" s="3"/>
      <c r="P4" s="3"/>
    </row>
    <row r="5" spans="1:16" ht="20.149999999999999" customHeight="1" x14ac:dyDescent="0.6">
      <c r="A5" s="387"/>
      <c r="B5" s="585" t="s">
        <v>66</v>
      </c>
      <c r="C5" s="775"/>
      <c r="D5" s="878" t="str">
        <f>SUBSTITUTE(Summary!$D7,,Summary!$D7)</f>
        <v/>
      </c>
      <c r="E5" s="775" t="str">
        <f>SUBSTITUTE(Summary!$D$5,,Summary!$D$5)</f>
        <v/>
      </c>
      <c r="F5" s="879" t="str">
        <f>SUBSTITUTE(Summary!$D$5,,Summary!$D$5)</f>
        <v/>
      </c>
      <c r="G5" s="761"/>
      <c r="H5" s="3"/>
      <c r="I5" s="3"/>
      <c r="J5" s="3"/>
      <c r="K5" s="3"/>
      <c r="L5" s="3"/>
      <c r="M5" s="3"/>
      <c r="N5" s="3"/>
      <c r="O5" s="3"/>
      <c r="P5" s="3"/>
    </row>
    <row r="6" spans="1:16" ht="20.149999999999999" customHeight="1" x14ac:dyDescent="0.6">
      <c r="A6" s="387"/>
      <c r="B6" s="585" t="s">
        <v>100</v>
      </c>
      <c r="C6" s="775"/>
      <c r="D6" s="878" t="str">
        <f>SUBSTITUTE(Summary!$D8,,Summary!$D8)</f>
        <v/>
      </c>
      <c r="E6" s="775" t="str">
        <f>SUBSTITUTE(Summary!$D$5,,Summary!$D$5)</f>
        <v/>
      </c>
      <c r="F6" s="879" t="str">
        <f>SUBSTITUTE(Summary!$D$5,,Summary!$D$5)</f>
        <v/>
      </c>
      <c r="G6" s="761"/>
      <c r="H6" s="3"/>
      <c r="I6" s="3"/>
      <c r="J6" s="3"/>
      <c r="K6" s="3"/>
      <c r="L6" s="3"/>
      <c r="M6" s="3"/>
      <c r="N6" s="3"/>
      <c r="O6" s="3"/>
      <c r="P6" s="3"/>
    </row>
    <row r="7" spans="1:16" ht="20.149999999999999" customHeight="1" thickBot="1" x14ac:dyDescent="0.85">
      <c r="A7" s="387"/>
      <c r="B7" s="764" t="s">
        <v>299</v>
      </c>
      <c r="C7" s="766"/>
      <c r="D7" s="880" t="str">
        <f>SUBSTITUTE(Summary!$D9,,Summary!$D9)</f>
        <v/>
      </c>
      <c r="E7" s="477" t="str">
        <f>SUBSTITUTE(Summary!$D$5,,Summary!$D$5)</f>
        <v/>
      </c>
      <c r="F7" s="478" t="str">
        <f>SUBSTITUTE(Summary!$D$5,,Summary!$D$5)</f>
        <v/>
      </c>
      <c r="G7" s="761"/>
      <c r="H7" s="3"/>
      <c r="I7" s="3"/>
      <c r="J7" s="3"/>
      <c r="K7" s="3"/>
      <c r="L7" s="3"/>
      <c r="M7" s="3"/>
      <c r="N7" s="3"/>
      <c r="O7" s="3"/>
      <c r="P7" s="3"/>
    </row>
    <row r="8" spans="1:16" ht="15" customHeight="1" thickTop="1" x14ac:dyDescent="0.6">
      <c r="A8" s="387"/>
      <c r="B8" s="20"/>
      <c r="C8" s="16"/>
      <c r="D8" s="16"/>
      <c r="E8" s="16"/>
      <c r="F8" s="16"/>
      <c r="G8" s="761"/>
      <c r="H8" s="3"/>
      <c r="I8" s="3"/>
      <c r="J8" s="3"/>
      <c r="K8" s="3"/>
      <c r="L8" s="3"/>
      <c r="M8" s="3"/>
      <c r="N8" s="3"/>
      <c r="O8" s="3"/>
      <c r="P8" s="3"/>
    </row>
    <row r="9" spans="1:16" ht="15" customHeight="1" thickBot="1" x14ac:dyDescent="0.75">
      <c r="A9" s="387"/>
      <c r="B9" s="52"/>
      <c r="C9" s="16"/>
      <c r="D9" s="16"/>
      <c r="E9" s="16"/>
      <c r="F9" s="16"/>
      <c r="G9" s="761"/>
      <c r="H9" s="3"/>
      <c r="I9" s="3"/>
      <c r="J9" s="3"/>
      <c r="K9" s="3"/>
      <c r="L9" s="3"/>
      <c r="M9" s="3"/>
      <c r="N9" s="3"/>
      <c r="O9" s="3"/>
      <c r="P9" s="3"/>
    </row>
    <row r="10" spans="1:16" s="3" customFormat="1" ht="16.149999999999999" customHeight="1" thickTop="1" x14ac:dyDescent="0.6">
      <c r="A10" s="387"/>
      <c r="B10" s="849" t="s">
        <v>10</v>
      </c>
      <c r="C10" s="784" t="s">
        <v>277</v>
      </c>
      <c r="D10" s="846"/>
      <c r="E10" s="61" t="s">
        <v>11</v>
      </c>
      <c r="F10" s="782" t="s">
        <v>287</v>
      </c>
      <c r="G10" s="761"/>
    </row>
    <row r="11" spans="1:16" s="3" customFormat="1" x14ac:dyDescent="0.6">
      <c r="A11" s="387"/>
      <c r="B11" s="464"/>
      <c r="C11" s="847"/>
      <c r="D11" s="848"/>
      <c r="E11" s="62" t="s">
        <v>12</v>
      </c>
      <c r="F11" s="783"/>
      <c r="G11" s="761"/>
    </row>
    <row r="12" spans="1:16" ht="20.149999999999999" customHeight="1" x14ac:dyDescent="0.6">
      <c r="A12" s="387"/>
      <c r="B12" s="280" t="s">
        <v>572</v>
      </c>
      <c r="C12" s="796" t="s">
        <v>573</v>
      </c>
      <c r="D12" s="797"/>
      <c r="E12" s="269" t="s">
        <v>572</v>
      </c>
      <c r="F12" s="73">
        <f>IF(E12="1st",'Point Schedule'!$C$55,IF(E12="2nd",'Point Schedule'!C$56,IF(E12="3rd",'Point Schedule'!C$57,IF(E12="4th",'Point Schedule'!C$58,0))))</f>
        <v>0</v>
      </c>
      <c r="G12" s="761"/>
      <c r="H12" s="3"/>
      <c r="I12" s="3"/>
      <c r="J12" s="3"/>
      <c r="K12" s="3"/>
      <c r="L12" s="3"/>
      <c r="M12" s="3"/>
      <c r="N12" s="3"/>
      <c r="O12" s="3"/>
      <c r="P12" s="3"/>
    </row>
    <row r="13" spans="1:16" ht="20.149999999999999" customHeight="1" x14ac:dyDescent="0.6">
      <c r="A13" s="387"/>
      <c r="B13" s="204"/>
      <c r="C13" s="545"/>
      <c r="D13" s="547"/>
      <c r="E13" s="205"/>
      <c r="F13" s="73">
        <f>IF(E13="1st",'Point Schedule'!$C$55,IF(E13="2nd",'Point Schedule'!C$56,IF(E13="3rd",'Point Schedule'!C$57,IF(E13="4th",'Point Schedule'!C$58,0))))</f>
        <v>0</v>
      </c>
      <c r="G13" s="761"/>
      <c r="H13" s="3"/>
      <c r="I13" s="3"/>
      <c r="J13" s="3"/>
      <c r="K13" s="3"/>
      <c r="L13" s="3"/>
      <c r="M13" s="3"/>
      <c r="N13" s="3"/>
      <c r="O13" s="3"/>
      <c r="P13" s="3"/>
    </row>
    <row r="14" spans="1:16" ht="20.149999999999999" customHeight="1" x14ac:dyDescent="0.6">
      <c r="A14" s="387"/>
      <c r="B14" s="204"/>
      <c r="C14" s="545"/>
      <c r="D14" s="547"/>
      <c r="E14" s="205"/>
      <c r="F14" s="73">
        <f>IF(E14="1st",'Point Schedule'!$C$55,IF(E14="2nd",'Point Schedule'!C$56,IF(E14="3rd",'Point Schedule'!C$57,IF(E14="4th",'Point Schedule'!C$58,0))))</f>
        <v>0</v>
      </c>
      <c r="G14" s="761"/>
      <c r="H14" s="3"/>
      <c r="I14" s="3"/>
      <c r="J14" s="3"/>
      <c r="K14" s="3"/>
      <c r="L14" s="3"/>
      <c r="M14" s="3"/>
      <c r="N14" s="3"/>
      <c r="O14" s="3"/>
      <c r="P14" s="3"/>
    </row>
    <row r="15" spans="1:16" ht="20.149999999999999" customHeight="1" x14ac:dyDescent="0.6">
      <c r="A15" s="387"/>
      <c r="B15" s="204"/>
      <c r="C15" s="545"/>
      <c r="D15" s="547"/>
      <c r="E15" s="205"/>
      <c r="F15" s="73">
        <f>IF(E15="1st",'Point Schedule'!$C$55,IF(E15="2nd",'Point Schedule'!C$56,IF(E15="3rd",'Point Schedule'!C$57,IF(E15="4th",'Point Schedule'!C$58,0))))</f>
        <v>0</v>
      </c>
      <c r="G15" s="761"/>
      <c r="H15" s="3"/>
      <c r="I15" s="3"/>
      <c r="J15" s="3"/>
      <c r="K15" s="3"/>
      <c r="L15" s="3"/>
      <c r="M15" s="3"/>
      <c r="N15" s="3"/>
      <c r="O15" s="3"/>
      <c r="P15" s="3"/>
    </row>
    <row r="16" spans="1:16" ht="20.149999999999999" customHeight="1" x14ac:dyDescent="0.6">
      <c r="A16" s="387"/>
      <c r="B16" s="204"/>
      <c r="C16" s="545"/>
      <c r="D16" s="547"/>
      <c r="E16" s="205"/>
      <c r="F16" s="73">
        <f>IF(E16="1st",'Point Schedule'!$C$55,IF(E16="2nd",'Point Schedule'!C$56,IF(E16="3rd",'Point Schedule'!C$57,IF(E16="4th",'Point Schedule'!C$58,0))))</f>
        <v>0</v>
      </c>
      <c r="G16" s="761"/>
      <c r="H16" s="3"/>
      <c r="I16" s="3"/>
      <c r="J16" s="3"/>
      <c r="K16" s="3"/>
      <c r="L16" s="3"/>
      <c r="M16" s="3"/>
      <c r="N16" s="3"/>
      <c r="O16" s="3"/>
      <c r="P16" s="3"/>
    </row>
    <row r="17" spans="1:16" ht="20.149999999999999" customHeight="1" x14ac:dyDescent="0.6">
      <c r="A17" s="387"/>
      <c r="B17" s="204"/>
      <c r="C17" s="545"/>
      <c r="D17" s="547"/>
      <c r="E17" s="205"/>
      <c r="F17" s="73">
        <f>IF(E17="1st",'Point Schedule'!$C$55,IF(E17="2nd",'Point Schedule'!C$56,IF(E17="3rd",'Point Schedule'!C$57,IF(E17="4th",'Point Schedule'!C$58,0))))</f>
        <v>0</v>
      </c>
      <c r="G17" s="761"/>
      <c r="H17" s="3"/>
      <c r="I17" s="3"/>
      <c r="J17" s="3"/>
      <c r="K17" s="3"/>
      <c r="L17" s="3"/>
      <c r="M17" s="3"/>
      <c r="N17" s="3"/>
      <c r="O17" s="3"/>
      <c r="P17" s="3"/>
    </row>
    <row r="18" spans="1:16" ht="20.149999999999999" customHeight="1" x14ac:dyDescent="0.6">
      <c r="A18" s="387"/>
      <c r="B18" s="204"/>
      <c r="C18" s="545"/>
      <c r="D18" s="547"/>
      <c r="E18" s="205"/>
      <c r="F18" s="73">
        <f>IF(E18="1st",'Point Schedule'!$C$55,IF(E18="2nd",'Point Schedule'!C$56,IF(E18="3rd",'Point Schedule'!C$57,IF(E18="4th",'Point Schedule'!C$58,0))))</f>
        <v>0</v>
      </c>
      <c r="G18" s="761"/>
      <c r="H18" s="3"/>
      <c r="I18" s="3"/>
      <c r="J18" s="3"/>
      <c r="K18" s="3"/>
      <c r="L18" s="3"/>
      <c r="M18" s="3"/>
      <c r="N18" s="3"/>
      <c r="O18" s="3"/>
      <c r="P18" s="3"/>
    </row>
    <row r="19" spans="1:16" ht="20.149999999999999" customHeight="1" x14ac:dyDescent="0.6">
      <c r="A19" s="387"/>
      <c r="B19" s="204"/>
      <c r="C19" s="545"/>
      <c r="D19" s="547"/>
      <c r="E19" s="205"/>
      <c r="F19" s="73">
        <f>IF(E19="1st",'Point Schedule'!$C$55,IF(E19="2nd",'Point Schedule'!C$56,IF(E19="3rd",'Point Schedule'!C$57,IF(E19="4th",'Point Schedule'!C$58,0))))</f>
        <v>0</v>
      </c>
      <c r="G19" s="761"/>
      <c r="H19" s="3"/>
      <c r="I19" s="3"/>
      <c r="J19" s="3"/>
      <c r="K19" s="3"/>
      <c r="L19" s="3"/>
      <c r="M19" s="3"/>
      <c r="N19" s="3"/>
      <c r="O19" s="3"/>
      <c r="P19" s="3"/>
    </row>
    <row r="20" spans="1:16" ht="20.149999999999999" customHeight="1" x14ac:dyDescent="0.6">
      <c r="A20" s="387"/>
      <c r="B20" s="204"/>
      <c r="C20" s="545"/>
      <c r="D20" s="547"/>
      <c r="E20" s="205"/>
      <c r="F20" s="73">
        <f>IF(E20="1st",'Point Schedule'!$C$55,IF(E20="2nd",'Point Schedule'!C$56,IF(E20="3rd",'Point Schedule'!C$57,IF(E20="4th",'Point Schedule'!C$58,0))))</f>
        <v>0</v>
      </c>
      <c r="G20" s="761"/>
      <c r="H20" s="3"/>
      <c r="I20" s="3"/>
      <c r="J20" s="3"/>
      <c r="K20" s="3"/>
      <c r="L20" s="3"/>
      <c r="M20" s="3"/>
      <c r="N20" s="3"/>
      <c r="O20" s="3"/>
      <c r="P20" s="3"/>
    </row>
    <row r="21" spans="1:16" ht="20.149999999999999" customHeight="1" x14ac:dyDescent="0.6">
      <c r="A21" s="387"/>
      <c r="B21" s="204"/>
      <c r="C21" s="545"/>
      <c r="D21" s="547"/>
      <c r="E21" s="205"/>
      <c r="F21" s="73">
        <f>IF(E21="1st",'Point Schedule'!$C$55,IF(E21="2nd",'Point Schedule'!C$56,IF(E21="3rd",'Point Schedule'!C$57,IF(E21="4th",'Point Schedule'!C$58,0))))</f>
        <v>0</v>
      </c>
      <c r="G21" s="761"/>
      <c r="H21" s="3"/>
      <c r="I21" s="3"/>
      <c r="J21" s="3"/>
      <c r="K21" s="3"/>
      <c r="L21" s="3"/>
      <c r="M21" s="3"/>
      <c r="N21" s="3"/>
      <c r="O21" s="3"/>
      <c r="P21" s="3"/>
    </row>
    <row r="22" spans="1:16" ht="20.149999999999999" customHeight="1" x14ac:dyDescent="0.6">
      <c r="A22" s="387"/>
      <c r="B22" s="204"/>
      <c r="C22" s="545"/>
      <c r="D22" s="547"/>
      <c r="E22" s="205"/>
      <c r="F22" s="73">
        <f>IF(E22="1st",'Point Schedule'!$C$55,IF(E22="2nd",'Point Schedule'!C$56,IF(E22="3rd",'Point Schedule'!C$57,IF(E22="4th",'Point Schedule'!C$58,0))))</f>
        <v>0</v>
      </c>
      <c r="G22" s="761"/>
      <c r="H22" s="3"/>
      <c r="I22" s="3"/>
      <c r="J22" s="3"/>
      <c r="K22" s="3"/>
      <c r="L22" s="3"/>
      <c r="M22" s="3"/>
      <c r="N22" s="3"/>
      <c r="O22" s="3"/>
      <c r="P22" s="3"/>
    </row>
    <row r="23" spans="1:16" ht="20.149999999999999" customHeight="1" x14ac:dyDescent="0.6">
      <c r="A23" s="387"/>
      <c r="B23" s="204"/>
      <c r="C23" s="545"/>
      <c r="D23" s="547"/>
      <c r="E23" s="205"/>
      <c r="F23" s="73">
        <f>IF(E23="1st",'Point Schedule'!$C$55,IF(E23="2nd",'Point Schedule'!C$56,IF(E23="3rd",'Point Schedule'!C$57,IF(E23="4th",'Point Schedule'!C$58,0))))</f>
        <v>0</v>
      </c>
      <c r="G23" s="761"/>
      <c r="H23" s="3"/>
      <c r="I23" s="3"/>
      <c r="J23" s="3"/>
      <c r="K23" s="3"/>
      <c r="L23" s="3"/>
      <c r="M23" s="3"/>
      <c r="N23" s="3"/>
      <c r="O23" s="3"/>
      <c r="P23" s="3"/>
    </row>
    <row r="24" spans="1:16" ht="20.149999999999999" customHeight="1" x14ac:dyDescent="0.6">
      <c r="A24" s="387"/>
      <c r="B24" s="204"/>
      <c r="C24" s="545"/>
      <c r="D24" s="547"/>
      <c r="E24" s="205"/>
      <c r="F24" s="73">
        <f>IF(E24="1st",'Point Schedule'!$C$55,IF(E24="2nd",'Point Schedule'!C$56,IF(E24="3rd",'Point Schedule'!C$57,IF(E24="4th",'Point Schedule'!C$58,0))))</f>
        <v>0</v>
      </c>
      <c r="G24" s="761"/>
      <c r="H24" s="3"/>
      <c r="I24" s="3"/>
      <c r="J24" s="3"/>
      <c r="K24" s="3"/>
      <c r="L24" s="3"/>
      <c r="M24" s="3"/>
      <c r="N24" s="3"/>
      <c r="O24" s="3"/>
      <c r="P24" s="3"/>
    </row>
    <row r="25" spans="1:16" ht="20.149999999999999" customHeight="1" x14ac:dyDescent="0.6">
      <c r="A25" s="387"/>
      <c r="B25" s="204"/>
      <c r="C25" s="545"/>
      <c r="D25" s="547"/>
      <c r="E25" s="205"/>
      <c r="F25" s="73">
        <f>IF(E25="1st",'Point Schedule'!$C$55,IF(E25="2nd",'Point Schedule'!C$56,IF(E25="3rd",'Point Schedule'!C$57,IF(E25="4th",'Point Schedule'!C$58,0))))</f>
        <v>0</v>
      </c>
      <c r="G25" s="761"/>
      <c r="H25" s="3"/>
      <c r="I25" s="3"/>
      <c r="J25" s="3"/>
      <c r="K25" s="3"/>
      <c r="L25" s="3"/>
      <c r="M25" s="3"/>
      <c r="N25" s="3"/>
      <c r="O25" s="3"/>
      <c r="P25" s="3"/>
    </row>
    <row r="26" spans="1:16" ht="20.149999999999999" customHeight="1" x14ac:dyDescent="0.6">
      <c r="A26" s="387"/>
      <c r="B26" s="204"/>
      <c r="C26" s="545"/>
      <c r="D26" s="547"/>
      <c r="E26" s="205"/>
      <c r="F26" s="73">
        <f>IF(E26="1st",'Point Schedule'!$C$55,IF(E26="2nd",'Point Schedule'!C$56,IF(E26="3rd",'Point Schedule'!C$57,IF(E26="4th",'Point Schedule'!C$58,0))))</f>
        <v>0</v>
      </c>
      <c r="G26" s="761"/>
      <c r="H26" s="3"/>
      <c r="I26" s="3"/>
      <c r="J26" s="3"/>
      <c r="K26" s="3"/>
      <c r="L26" s="3"/>
      <c r="M26" s="3"/>
      <c r="N26" s="3"/>
      <c r="O26" s="3"/>
      <c r="P26" s="3"/>
    </row>
    <row r="27" spans="1:16" ht="20.149999999999999" customHeight="1" x14ac:dyDescent="0.6">
      <c r="A27" s="387"/>
      <c r="B27" s="204"/>
      <c r="C27" s="545"/>
      <c r="D27" s="547"/>
      <c r="E27" s="205"/>
      <c r="F27" s="73">
        <f>IF(E27="1st",'Point Schedule'!$C$55,IF(E27="2nd",'Point Schedule'!C$56,IF(E27="3rd",'Point Schedule'!C$57,IF(E27="4th",'Point Schedule'!C$58,0))))</f>
        <v>0</v>
      </c>
      <c r="G27" s="761"/>
      <c r="H27" s="3"/>
      <c r="I27" s="3"/>
      <c r="J27" s="3"/>
      <c r="K27" s="3"/>
      <c r="L27" s="3"/>
      <c r="M27" s="3"/>
      <c r="N27" s="3"/>
      <c r="O27" s="3"/>
      <c r="P27" s="3"/>
    </row>
    <row r="28" spans="1:16" ht="20.149999999999999" customHeight="1" x14ac:dyDescent="0.6">
      <c r="A28" s="387"/>
      <c r="B28" s="204"/>
      <c r="C28" s="545"/>
      <c r="D28" s="547"/>
      <c r="E28" s="205"/>
      <c r="F28" s="73">
        <f>IF(E28="1st",'Point Schedule'!$C$55,IF(E28="2nd",'Point Schedule'!C$56,IF(E28="3rd",'Point Schedule'!C$57,IF(E28="4th",'Point Schedule'!C$58,0))))</f>
        <v>0</v>
      </c>
      <c r="G28" s="761"/>
      <c r="H28" s="3"/>
      <c r="I28" s="3"/>
      <c r="J28" s="3"/>
      <c r="K28" s="3"/>
      <c r="L28" s="3"/>
      <c r="M28" s="3"/>
      <c r="N28" s="3"/>
      <c r="O28" s="3"/>
      <c r="P28" s="3"/>
    </row>
    <row r="29" spans="1:16" ht="20.149999999999999" customHeight="1" x14ac:dyDescent="0.6">
      <c r="A29" s="387"/>
      <c r="B29" s="204"/>
      <c r="C29" s="545"/>
      <c r="D29" s="547"/>
      <c r="E29" s="205"/>
      <c r="F29" s="73">
        <f>IF(E29="1st",'Point Schedule'!$C$55,IF(E29="2nd",'Point Schedule'!C$56,IF(E29="3rd",'Point Schedule'!C$57,IF(E29="4th",'Point Schedule'!C$58,0))))</f>
        <v>0</v>
      </c>
      <c r="G29" s="761"/>
      <c r="H29" s="3"/>
      <c r="I29" s="3"/>
      <c r="J29" s="3"/>
      <c r="K29" s="3"/>
      <c r="L29" s="3"/>
      <c r="M29" s="3"/>
      <c r="N29" s="3"/>
      <c r="O29" s="3"/>
      <c r="P29" s="3"/>
    </row>
    <row r="30" spans="1:16" ht="20.149999999999999" customHeight="1" x14ac:dyDescent="0.6">
      <c r="A30" s="387"/>
      <c r="B30" s="204"/>
      <c r="C30" s="545"/>
      <c r="D30" s="547"/>
      <c r="E30" s="205"/>
      <c r="F30" s="73">
        <f>IF(E30="1st",'Point Schedule'!$C$55,IF(E30="2nd",'Point Schedule'!C$56,IF(E30="3rd",'Point Schedule'!C$57,IF(E30="4th",'Point Schedule'!C$58,0))))</f>
        <v>0</v>
      </c>
      <c r="G30" s="761"/>
      <c r="H30" s="3"/>
      <c r="I30" s="3"/>
      <c r="J30" s="3"/>
      <c r="K30" s="3"/>
      <c r="L30" s="3"/>
      <c r="M30" s="3"/>
      <c r="N30" s="3"/>
      <c r="O30" s="3"/>
      <c r="P30" s="3"/>
    </row>
    <row r="31" spans="1:16" ht="20.149999999999999" customHeight="1" x14ac:dyDescent="0.6">
      <c r="A31" s="387"/>
      <c r="B31" s="204"/>
      <c r="C31" s="545"/>
      <c r="D31" s="547"/>
      <c r="E31" s="205"/>
      <c r="F31" s="73">
        <f>IF(E31="1st",'Point Schedule'!$C$55,IF(E31="2nd",'Point Schedule'!C$56,IF(E31="3rd",'Point Schedule'!C$57,IF(E31="4th",'Point Schedule'!C$58,0))))</f>
        <v>0</v>
      </c>
      <c r="G31" s="761"/>
      <c r="H31" s="3"/>
      <c r="I31" s="3"/>
      <c r="J31" s="3"/>
      <c r="K31" s="3"/>
      <c r="L31" s="3"/>
      <c r="M31" s="3"/>
      <c r="N31" s="3"/>
      <c r="O31" s="3"/>
      <c r="P31" s="3"/>
    </row>
    <row r="32" spans="1:16" ht="20.149999999999999" customHeight="1" thickBot="1" x14ac:dyDescent="0.75">
      <c r="A32" s="387"/>
      <c r="B32" s="208"/>
      <c r="C32" s="850"/>
      <c r="D32" s="851"/>
      <c r="E32" s="210"/>
      <c r="F32" s="73">
        <f>IF(E32="1st",'Point Schedule'!$C$55,IF(E32="2nd",'Point Schedule'!C$56,IF(E32="3rd",'Point Schedule'!C$57,IF(E32="4th",'Point Schedule'!C$58,0))))</f>
        <v>0</v>
      </c>
      <c r="G32" s="761"/>
      <c r="H32" s="3"/>
      <c r="I32" s="3"/>
      <c r="J32" s="3"/>
      <c r="K32" s="3"/>
      <c r="L32" s="3"/>
      <c r="M32" s="3"/>
      <c r="N32" s="3"/>
      <c r="O32" s="3"/>
      <c r="P32" s="3"/>
    </row>
    <row r="33" spans="1:16" ht="20.149999999999999" customHeight="1" thickTop="1" thickBot="1" x14ac:dyDescent="0.75">
      <c r="A33" s="387"/>
      <c r="B33" s="63" t="s">
        <v>98</v>
      </c>
      <c r="C33" s="124">
        <f>SUM(F12:F32)</f>
        <v>0</v>
      </c>
      <c r="D33" s="125"/>
      <c r="E33" s="20"/>
      <c r="F33" s="20"/>
      <c r="G33" s="761"/>
      <c r="H33" s="3"/>
      <c r="I33" s="3"/>
      <c r="J33" s="3"/>
      <c r="K33" s="3"/>
      <c r="L33" s="3"/>
      <c r="M33" s="3"/>
      <c r="N33" s="3"/>
      <c r="O33" s="3"/>
      <c r="P33" s="3"/>
    </row>
    <row r="34" spans="1:16" ht="14.5" thickTop="1" thickBot="1" x14ac:dyDescent="0.75">
      <c r="A34" s="551"/>
      <c r="B34" s="759"/>
      <c r="C34" s="759"/>
      <c r="D34" s="759"/>
      <c r="E34" s="759"/>
      <c r="F34" s="759"/>
      <c r="G34" s="760"/>
    </row>
    <row r="35" spans="1:16" ht="13.75" thickTop="1" x14ac:dyDescent="0.6"/>
    <row r="37" spans="1:16" ht="13.5" customHeight="1" x14ac:dyDescent="0.6"/>
  </sheetData>
  <sheetProtection password="DEBF" sheet="1" objects="1" scenarios="1"/>
  <mergeCells count="38">
    <mergeCell ref="A1:G1"/>
    <mergeCell ref="A2:A33"/>
    <mergeCell ref="B2:F2"/>
    <mergeCell ref="G2:G33"/>
    <mergeCell ref="B3:F3"/>
    <mergeCell ref="C12:D12"/>
    <mergeCell ref="C13:D13"/>
    <mergeCell ref="C18:D18"/>
    <mergeCell ref="C19:D19"/>
    <mergeCell ref="C26:D26"/>
    <mergeCell ref="C27:D27"/>
    <mergeCell ref="B4:C4"/>
    <mergeCell ref="D4:F4"/>
    <mergeCell ref="B5:C5"/>
    <mergeCell ref="D5:F5"/>
    <mergeCell ref="B6:C6"/>
    <mergeCell ref="D6:F6"/>
    <mergeCell ref="B7:C7"/>
    <mergeCell ref="D7:F7"/>
    <mergeCell ref="C20:D20"/>
    <mergeCell ref="B10:B11"/>
    <mergeCell ref="C10:D11"/>
    <mergeCell ref="C14:D14"/>
    <mergeCell ref="C15:D15"/>
    <mergeCell ref="C16:D16"/>
    <mergeCell ref="C17:D17"/>
    <mergeCell ref="F10:F11"/>
    <mergeCell ref="C21:D21"/>
    <mergeCell ref="C22:D22"/>
    <mergeCell ref="C23:D23"/>
    <mergeCell ref="C24:D24"/>
    <mergeCell ref="C25:D25"/>
    <mergeCell ref="C28:D28"/>
    <mergeCell ref="C29:D29"/>
    <mergeCell ref="C32:D32"/>
    <mergeCell ref="A34:G34"/>
    <mergeCell ref="C30:D30"/>
    <mergeCell ref="C31:D31"/>
  </mergeCells>
  <phoneticPr fontId="2" type="noConversion"/>
  <dataValidations count="1">
    <dataValidation type="list" allowBlank="1" showInputMessage="1" showErrorMessage="1" sqref="E13:E32" xr:uid="{00000000-0002-0000-0400-000000000000}">
      <formula1>Placement</formula1>
    </dataValidation>
  </dataValidations>
  <printOptions horizontalCentered="1" verticalCentered="1"/>
  <pageMargins left="0.75" right="0.75" top="1" bottom="1" header="0.5" footer="0.5"/>
  <pageSetup scale="72" orientation="portrait" r:id="rId1"/>
  <headerFooter alignWithMargins="0"/>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pageSetUpPr fitToPage="1"/>
  </sheetPr>
  <dimension ref="A1:AB110"/>
  <sheetViews>
    <sheetView workbookViewId="0">
      <selection activeCell="H4" sqref="H4"/>
    </sheetView>
  </sheetViews>
  <sheetFormatPr defaultColWidth="8.76953125" defaultRowHeight="13" x14ac:dyDescent="0.6"/>
  <cols>
    <col min="1" max="1" width="20.6796875" customWidth="1"/>
    <col min="2" max="2" width="15.76953125" customWidth="1"/>
    <col min="6" max="6" width="11" customWidth="1"/>
    <col min="10" max="10" width="1.6796875" customWidth="1"/>
    <col min="12" max="12" width="10" customWidth="1"/>
    <col min="14" max="14" width="12.6796875" customWidth="1"/>
    <col min="15" max="15" width="14.76953125" customWidth="1"/>
    <col min="16" max="16" width="15.76953125" customWidth="1"/>
    <col min="18" max="18" width="10" customWidth="1"/>
    <col min="20" max="20" width="12.6796875" customWidth="1"/>
    <col min="21" max="21" width="14.76953125" customWidth="1"/>
    <col min="22" max="22" width="15.76953125" customWidth="1"/>
    <col min="23" max="23" width="17" customWidth="1"/>
  </cols>
  <sheetData>
    <row r="1" spans="1:22" ht="13.75" thickTop="1" x14ac:dyDescent="0.6">
      <c r="A1" s="909" t="s">
        <v>18</v>
      </c>
      <c r="B1" s="910"/>
      <c r="C1" s="916"/>
      <c r="D1" s="916"/>
      <c r="E1" s="916"/>
      <c r="F1" s="916"/>
      <c r="G1" s="916"/>
      <c r="H1" s="916"/>
      <c r="I1" s="917"/>
      <c r="J1" s="32"/>
      <c r="K1" s="32"/>
      <c r="L1" s="915" t="s">
        <v>19</v>
      </c>
      <c r="M1" s="916"/>
      <c r="N1" s="916"/>
      <c r="O1" s="916"/>
      <c r="P1" s="917"/>
      <c r="Q1" s="31"/>
      <c r="R1" s="949" t="s">
        <v>371</v>
      </c>
      <c r="S1" s="950"/>
      <c r="T1" s="950"/>
      <c r="U1" s="950"/>
      <c r="V1" s="925"/>
    </row>
    <row r="2" spans="1:22" x14ac:dyDescent="0.6">
      <c r="A2" s="918"/>
      <c r="B2" s="904"/>
      <c r="C2" s="904"/>
      <c r="D2" s="904"/>
      <c r="E2" s="904"/>
      <c r="F2" s="904"/>
      <c r="G2" s="904"/>
      <c r="H2" s="904"/>
      <c r="I2" s="905"/>
      <c r="J2" s="21"/>
      <c r="K2" s="21"/>
      <c r="L2" s="918"/>
      <c r="M2" s="904"/>
      <c r="N2" s="904"/>
      <c r="O2" s="904"/>
      <c r="P2" s="905"/>
      <c r="Q2" s="31"/>
      <c r="R2" s="951"/>
      <c r="S2" s="952"/>
      <c r="T2" s="952"/>
      <c r="U2" s="952"/>
      <c r="V2" s="926"/>
    </row>
    <row r="3" spans="1:22" x14ac:dyDescent="0.6">
      <c r="A3" s="4"/>
      <c r="B3" s="7"/>
      <c r="C3" s="11" t="s">
        <v>0</v>
      </c>
      <c r="D3" s="11"/>
      <c r="E3" s="11" t="s">
        <v>1</v>
      </c>
      <c r="F3" s="11"/>
      <c r="G3" s="11" t="s">
        <v>46</v>
      </c>
      <c r="H3" s="11" t="s">
        <v>869</v>
      </c>
      <c r="I3" s="159" t="s">
        <v>3</v>
      </c>
      <c r="J3" s="18"/>
      <c r="K3" s="18"/>
      <c r="L3" s="953" t="s">
        <v>12</v>
      </c>
      <c r="M3" s="954"/>
      <c r="N3" s="954"/>
      <c r="O3" s="182" t="s">
        <v>35</v>
      </c>
      <c r="P3" s="183" t="s">
        <v>36</v>
      </c>
      <c r="Q3" s="197">
        <v>3</v>
      </c>
      <c r="R3" s="953" t="s">
        <v>12</v>
      </c>
      <c r="S3" s="954"/>
      <c r="T3" s="954"/>
      <c r="U3" s="182" t="s">
        <v>35</v>
      </c>
      <c r="V3" s="183" t="s">
        <v>36</v>
      </c>
    </row>
    <row r="4" spans="1:22" x14ac:dyDescent="0.6">
      <c r="A4" s="4" t="s">
        <v>4</v>
      </c>
      <c r="B4" s="7"/>
      <c r="C4" s="5">
        <v>5</v>
      </c>
      <c r="D4" s="5"/>
      <c r="E4" s="5">
        <v>6</v>
      </c>
      <c r="F4" s="5"/>
      <c r="G4" s="5">
        <v>7</v>
      </c>
      <c r="H4" s="5">
        <v>9</v>
      </c>
      <c r="I4" s="15">
        <v>8</v>
      </c>
      <c r="J4" s="18"/>
      <c r="K4" s="18"/>
      <c r="L4" s="942" t="s">
        <v>20</v>
      </c>
      <c r="M4" s="943"/>
      <c r="N4" s="943"/>
      <c r="O4" s="944">
        <v>50</v>
      </c>
      <c r="P4" s="945"/>
      <c r="Q4" s="197">
        <v>4</v>
      </c>
      <c r="R4" s="942" t="s">
        <v>20</v>
      </c>
      <c r="S4" s="943"/>
      <c r="T4" s="943"/>
      <c r="U4" s="944">
        <v>50</v>
      </c>
      <c r="V4" s="945"/>
    </row>
    <row r="5" spans="1:22" x14ac:dyDescent="0.6">
      <c r="A5" s="4" t="s">
        <v>5</v>
      </c>
      <c r="B5" s="7"/>
      <c r="C5" s="5">
        <v>4</v>
      </c>
      <c r="D5" s="5"/>
      <c r="E5" s="5">
        <v>5</v>
      </c>
      <c r="F5" s="5"/>
      <c r="G5" s="5">
        <v>6</v>
      </c>
      <c r="H5" s="5">
        <v>8</v>
      </c>
      <c r="I5" s="15">
        <v>7</v>
      </c>
      <c r="J5" s="18"/>
      <c r="K5" s="18"/>
      <c r="L5" s="942" t="s">
        <v>21</v>
      </c>
      <c r="M5" s="943"/>
      <c r="N5" s="943"/>
      <c r="O5" s="944">
        <v>25</v>
      </c>
      <c r="P5" s="945"/>
      <c r="Q5" s="197">
        <v>5</v>
      </c>
      <c r="R5" s="942" t="s">
        <v>21</v>
      </c>
      <c r="S5" s="943"/>
      <c r="T5" s="943"/>
      <c r="U5" s="944">
        <v>25</v>
      </c>
      <c r="V5" s="945"/>
    </row>
    <row r="6" spans="1:22" x14ac:dyDescent="0.6">
      <c r="A6" s="4" t="s">
        <v>6</v>
      </c>
      <c r="B6" s="7"/>
      <c r="C6" s="5">
        <v>3</v>
      </c>
      <c r="D6" s="5"/>
      <c r="E6" s="5">
        <v>4</v>
      </c>
      <c r="F6" s="5"/>
      <c r="G6" s="5">
        <v>5</v>
      </c>
      <c r="H6" s="5">
        <v>7</v>
      </c>
      <c r="I6" s="15">
        <v>6</v>
      </c>
      <c r="J6" s="18"/>
      <c r="K6" s="18"/>
      <c r="L6" s="942" t="s">
        <v>22</v>
      </c>
      <c r="M6" s="943"/>
      <c r="N6" s="943"/>
      <c r="O6" s="944">
        <v>20</v>
      </c>
      <c r="P6" s="945"/>
      <c r="Q6" s="197">
        <v>6</v>
      </c>
      <c r="R6" s="942" t="s">
        <v>22</v>
      </c>
      <c r="S6" s="943"/>
      <c r="T6" s="943"/>
      <c r="U6" s="944">
        <v>20</v>
      </c>
      <c r="V6" s="945"/>
    </row>
    <row r="7" spans="1:22" x14ac:dyDescent="0.6">
      <c r="A7" s="4" t="s">
        <v>7</v>
      </c>
      <c r="B7" s="7"/>
      <c r="C7" s="5">
        <v>2</v>
      </c>
      <c r="D7" s="5"/>
      <c r="E7" s="5">
        <v>3</v>
      </c>
      <c r="F7" s="5"/>
      <c r="G7" s="5">
        <v>4</v>
      </c>
      <c r="H7" s="5">
        <v>6</v>
      </c>
      <c r="I7" s="15">
        <v>5</v>
      </c>
      <c r="J7" s="18"/>
      <c r="K7" s="18"/>
      <c r="L7" s="942" t="s">
        <v>23</v>
      </c>
      <c r="M7" s="943"/>
      <c r="N7" s="943"/>
      <c r="O7" s="944">
        <v>15</v>
      </c>
      <c r="P7" s="945"/>
      <c r="Q7" s="197">
        <v>7</v>
      </c>
      <c r="R7" s="942" t="s">
        <v>23</v>
      </c>
      <c r="S7" s="943"/>
      <c r="T7" s="943"/>
      <c r="U7" s="944">
        <v>15</v>
      </c>
      <c r="V7" s="945"/>
    </row>
    <row r="8" spans="1:22" x14ac:dyDescent="0.6">
      <c r="A8" s="4"/>
      <c r="B8" s="7"/>
      <c r="C8" s="5"/>
      <c r="D8" s="5"/>
      <c r="E8" s="5"/>
      <c r="F8" s="5"/>
      <c r="G8" s="5"/>
      <c r="H8" s="5"/>
      <c r="I8" s="15"/>
      <c r="J8" s="18"/>
      <c r="K8" s="18"/>
      <c r="L8" s="942" t="s">
        <v>24</v>
      </c>
      <c r="M8" s="943"/>
      <c r="N8" s="943"/>
      <c r="O8" s="944">
        <v>10</v>
      </c>
      <c r="P8" s="945"/>
      <c r="Q8" s="197">
        <v>8</v>
      </c>
      <c r="R8" s="942" t="s">
        <v>24</v>
      </c>
      <c r="S8" s="943"/>
      <c r="T8" s="943"/>
      <c r="U8" s="944">
        <v>10</v>
      </c>
      <c r="V8" s="945"/>
    </row>
    <row r="9" spans="1:22" x14ac:dyDescent="0.6">
      <c r="A9" s="4" t="s">
        <v>13</v>
      </c>
      <c r="B9" s="7"/>
      <c r="C9" s="5">
        <v>2</v>
      </c>
      <c r="D9" s="5"/>
      <c r="E9" s="5">
        <v>4</v>
      </c>
      <c r="F9" s="5"/>
      <c r="G9" s="5">
        <v>6</v>
      </c>
      <c r="H9" s="5">
        <v>10</v>
      </c>
      <c r="I9" s="15">
        <v>8</v>
      </c>
      <c r="J9" s="18"/>
      <c r="K9" s="18"/>
      <c r="L9" s="184"/>
      <c r="M9" s="185"/>
      <c r="N9" s="185"/>
      <c r="O9" s="188"/>
      <c r="P9" s="183"/>
      <c r="Q9" s="197">
        <v>9</v>
      </c>
      <c r="R9" s="946"/>
      <c r="S9" s="947"/>
      <c r="T9" s="947"/>
      <c r="U9" s="947"/>
      <c r="V9" s="948"/>
    </row>
    <row r="10" spans="1:22" x14ac:dyDescent="0.6">
      <c r="A10" s="4"/>
      <c r="B10" s="7"/>
      <c r="C10" s="5"/>
      <c r="D10" s="5"/>
      <c r="E10" s="5"/>
      <c r="F10" s="5"/>
      <c r="G10" s="5"/>
      <c r="H10" s="5"/>
      <c r="I10" s="15"/>
      <c r="J10" s="18"/>
      <c r="K10" s="18"/>
      <c r="L10" s="942" t="s">
        <v>25</v>
      </c>
      <c r="M10" s="943"/>
      <c r="N10" s="943"/>
      <c r="O10" s="186">
        <v>5</v>
      </c>
      <c r="P10" s="187">
        <v>10</v>
      </c>
      <c r="Q10" s="197">
        <v>10</v>
      </c>
      <c r="R10" s="942" t="s">
        <v>25</v>
      </c>
      <c r="S10" s="943"/>
      <c r="T10" s="943"/>
      <c r="U10" s="186">
        <v>5</v>
      </c>
      <c r="V10" s="187">
        <v>10</v>
      </c>
    </row>
    <row r="11" spans="1:22" x14ac:dyDescent="0.6">
      <c r="A11" s="4" t="s">
        <v>8</v>
      </c>
      <c r="B11" s="7"/>
      <c r="C11" s="5">
        <v>3</v>
      </c>
      <c r="D11" s="5"/>
      <c r="E11" s="5"/>
      <c r="F11" s="5"/>
      <c r="G11" s="5"/>
      <c r="H11" s="5"/>
      <c r="I11" s="15"/>
      <c r="J11" s="18"/>
      <c r="K11" s="18"/>
      <c r="L11" s="942" t="s">
        <v>26</v>
      </c>
      <c r="M11" s="943"/>
      <c r="N11" s="943"/>
      <c r="O11" s="186">
        <v>3</v>
      </c>
      <c r="P11" s="187">
        <v>6</v>
      </c>
      <c r="Q11" s="197">
        <v>11</v>
      </c>
      <c r="R11" s="942" t="s">
        <v>26</v>
      </c>
      <c r="S11" s="943"/>
      <c r="T11" s="943"/>
      <c r="U11" s="186">
        <v>3</v>
      </c>
      <c r="V11" s="187">
        <v>6</v>
      </c>
    </row>
    <row r="12" spans="1:22" x14ac:dyDescent="0.6">
      <c r="A12" s="4" t="s">
        <v>9</v>
      </c>
      <c r="B12" s="7"/>
      <c r="C12" s="5">
        <v>5</v>
      </c>
      <c r="D12" s="5"/>
      <c r="E12" s="5"/>
      <c r="F12" s="5"/>
      <c r="G12" s="5"/>
      <c r="H12" s="5"/>
      <c r="I12" s="15"/>
      <c r="J12" s="18"/>
      <c r="K12" s="18"/>
      <c r="L12" s="942" t="s">
        <v>27</v>
      </c>
      <c r="M12" s="943"/>
      <c r="N12" s="943"/>
      <c r="O12" s="186">
        <v>2</v>
      </c>
      <c r="P12" s="187">
        <v>4</v>
      </c>
      <c r="Q12" s="197">
        <v>12</v>
      </c>
      <c r="R12" s="959" t="s">
        <v>313</v>
      </c>
      <c r="S12" s="943"/>
      <c r="T12" s="943"/>
      <c r="U12" s="186">
        <v>1</v>
      </c>
      <c r="V12" s="187">
        <v>2</v>
      </c>
    </row>
    <row r="13" spans="1:22" x14ac:dyDescent="0.6">
      <c r="A13" s="158" t="s">
        <v>259</v>
      </c>
      <c r="B13" s="7"/>
      <c r="C13" s="5">
        <v>4</v>
      </c>
      <c r="D13" s="7"/>
      <c r="E13" s="7"/>
      <c r="F13" s="7"/>
      <c r="G13" s="7"/>
      <c r="H13" s="7"/>
      <c r="I13" s="6"/>
      <c r="J13" s="18"/>
      <c r="K13" s="18"/>
      <c r="L13" s="942" t="s">
        <v>28</v>
      </c>
      <c r="M13" s="943"/>
      <c r="N13" s="943"/>
      <c r="O13" s="186">
        <v>1</v>
      </c>
      <c r="P13" s="187">
        <v>2</v>
      </c>
      <c r="Q13" s="197">
        <v>13</v>
      </c>
      <c r="R13" s="946"/>
      <c r="S13" s="947"/>
      <c r="T13" s="947"/>
      <c r="U13" s="947"/>
      <c r="V13" s="948"/>
    </row>
    <row r="14" spans="1:22" ht="13.75" thickBot="1" x14ac:dyDescent="0.75">
      <c r="A14" s="8" t="s">
        <v>398</v>
      </c>
      <c r="B14" s="9"/>
      <c r="C14" s="156">
        <v>4</v>
      </c>
      <c r="D14" s="9"/>
      <c r="E14" s="9"/>
      <c r="F14" s="9"/>
      <c r="G14" s="9"/>
      <c r="H14" s="9"/>
      <c r="I14" s="33"/>
      <c r="J14" s="18"/>
      <c r="K14" s="18"/>
      <c r="L14" s="942" t="s">
        <v>29</v>
      </c>
      <c r="M14" s="943"/>
      <c r="N14" s="943"/>
      <c r="O14" s="944">
        <v>2</v>
      </c>
      <c r="P14" s="945"/>
      <c r="Q14" s="197">
        <v>14</v>
      </c>
      <c r="R14" s="960" t="s">
        <v>372</v>
      </c>
      <c r="S14" s="944"/>
      <c r="T14" s="944"/>
      <c r="U14" s="944"/>
      <c r="V14" s="945"/>
    </row>
    <row r="15" spans="1:22" ht="13.75" thickTop="1" x14ac:dyDescent="0.6">
      <c r="A15" s="46"/>
      <c r="B15" s="26"/>
      <c r="C15" s="26"/>
      <c r="D15" s="26"/>
      <c r="E15" s="26"/>
      <c r="F15" s="26"/>
      <c r="G15" s="26"/>
      <c r="H15" s="26"/>
      <c r="I15" s="26"/>
      <c r="J15" s="18"/>
      <c r="K15" s="18"/>
      <c r="L15" s="942" t="s">
        <v>30</v>
      </c>
      <c r="M15" s="943"/>
      <c r="N15" s="943"/>
      <c r="O15" s="944">
        <v>1</v>
      </c>
      <c r="P15" s="945"/>
      <c r="Q15" s="197">
        <v>15</v>
      </c>
      <c r="R15" s="887" t="s">
        <v>373</v>
      </c>
      <c r="S15" s="888"/>
      <c r="T15" s="894" t="s">
        <v>377</v>
      </c>
      <c r="U15" s="888"/>
      <c r="V15" s="189">
        <v>1</v>
      </c>
    </row>
    <row r="16" spans="1:22" ht="13.75" thickBot="1" x14ac:dyDescent="0.75">
      <c r="A16" s="17"/>
      <c r="B16" s="18"/>
      <c r="C16" s="23"/>
      <c r="D16" s="23"/>
      <c r="E16" s="18"/>
      <c r="F16" s="18"/>
      <c r="G16" s="18"/>
      <c r="H16" s="18"/>
      <c r="I16" s="23"/>
      <c r="J16" s="18"/>
      <c r="K16" s="18"/>
      <c r="L16" s="942" t="s">
        <v>31</v>
      </c>
      <c r="M16" s="943"/>
      <c r="N16" s="943"/>
      <c r="O16" s="944">
        <v>5</v>
      </c>
      <c r="P16" s="945"/>
      <c r="Q16" s="197">
        <v>16</v>
      </c>
      <c r="R16" s="889"/>
      <c r="S16" s="888"/>
      <c r="T16" s="894" t="s">
        <v>399</v>
      </c>
      <c r="U16" s="888"/>
      <c r="V16" s="189">
        <v>3</v>
      </c>
    </row>
    <row r="17" spans="1:28" ht="21" thickTop="1" x14ac:dyDescent="0.6">
      <c r="A17" s="909" t="s">
        <v>37</v>
      </c>
      <c r="B17" s="910"/>
      <c r="C17" s="910"/>
      <c r="D17" s="910"/>
      <c r="E17" s="910"/>
      <c r="F17" s="910"/>
      <c r="G17" s="910"/>
      <c r="H17" s="910"/>
      <c r="I17" s="911"/>
      <c r="J17" s="18"/>
      <c r="K17" s="18"/>
      <c r="L17" s="942" t="s">
        <v>32</v>
      </c>
      <c r="M17" s="943"/>
      <c r="N17" s="943"/>
      <c r="O17" s="944">
        <v>50</v>
      </c>
      <c r="P17" s="945"/>
      <c r="Q17" s="197">
        <v>17</v>
      </c>
      <c r="R17" s="889"/>
      <c r="S17" s="888"/>
      <c r="T17" s="958" t="s">
        <v>400</v>
      </c>
      <c r="U17" s="888"/>
      <c r="V17" s="189">
        <v>2</v>
      </c>
    </row>
    <row r="18" spans="1:28" ht="12.75" customHeight="1" x14ac:dyDescent="0.6">
      <c r="A18" s="39"/>
      <c r="B18" s="37"/>
      <c r="C18" s="37"/>
      <c r="D18" s="37"/>
      <c r="E18" s="37"/>
      <c r="F18" s="37"/>
      <c r="G18" s="37"/>
      <c r="H18" s="37"/>
      <c r="I18" s="38"/>
      <c r="J18" s="18"/>
      <c r="K18" s="18"/>
      <c r="L18" s="942" t="s">
        <v>33</v>
      </c>
      <c r="M18" s="943"/>
      <c r="N18" s="943"/>
      <c r="O18" s="944">
        <v>25</v>
      </c>
      <c r="P18" s="945"/>
      <c r="Q18" s="197">
        <v>18</v>
      </c>
      <c r="R18" s="933" t="s">
        <v>374</v>
      </c>
      <c r="S18" s="939"/>
      <c r="T18" s="894" t="s">
        <v>378</v>
      </c>
      <c r="U18" s="888"/>
      <c r="V18" s="189">
        <v>2</v>
      </c>
    </row>
    <row r="19" spans="1:28" x14ac:dyDescent="0.6">
      <c r="A19" s="4"/>
      <c r="B19" s="7" t="s">
        <v>330</v>
      </c>
      <c r="C19" s="11" t="s">
        <v>0</v>
      </c>
      <c r="D19" s="11" t="s">
        <v>327</v>
      </c>
      <c r="E19" s="11" t="s">
        <v>1</v>
      </c>
      <c r="F19" s="11" t="s">
        <v>328</v>
      </c>
      <c r="G19" s="11" t="s">
        <v>38</v>
      </c>
      <c r="H19" s="11" t="s">
        <v>329</v>
      </c>
      <c r="I19" s="160"/>
      <c r="J19" s="18"/>
      <c r="K19" s="18"/>
      <c r="L19" s="942" t="s">
        <v>34</v>
      </c>
      <c r="M19" s="943"/>
      <c r="N19" s="943"/>
      <c r="O19" s="944">
        <v>15</v>
      </c>
      <c r="P19" s="945"/>
      <c r="Q19" s="197">
        <v>19</v>
      </c>
      <c r="R19" s="940"/>
      <c r="S19" s="941"/>
      <c r="T19" s="894" t="s">
        <v>401</v>
      </c>
      <c r="U19" s="888"/>
      <c r="V19" s="189">
        <v>4</v>
      </c>
    </row>
    <row r="20" spans="1:28" ht="13.75" thickBot="1" x14ac:dyDescent="0.75">
      <c r="A20" s="4" t="s">
        <v>4</v>
      </c>
      <c r="B20" s="37">
        <v>4</v>
      </c>
      <c r="C20" s="37">
        <v>5</v>
      </c>
      <c r="D20" s="37">
        <v>5</v>
      </c>
      <c r="E20" s="37">
        <v>6</v>
      </c>
      <c r="F20" s="37">
        <v>6</v>
      </c>
      <c r="G20" s="37">
        <v>7</v>
      </c>
      <c r="H20" s="37">
        <v>6</v>
      </c>
      <c r="I20" s="15"/>
      <c r="J20" s="18"/>
      <c r="K20" s="18"/>
      <c r="L20" s="942" t="s">
        <v>594</v>
      </c>
      <c r="M20" s="943"/>
      <c r="N20" s="943"/>
      <c r="O20" s="186">
        <v>1</v>
      </c>
      <c r="P20" s="187">
        <v>2</v>
      </c>
      <c r="Q20" s="197">
        <v>20</v>
      </c>
      <c r="R20" s="940"/>
      <c r="S20" s="941"/>
      <c r="T20" s="931" t="s">
        <v>402</v>
      </c>
      <c r="U20" s="932"/>
      <c r="V20" s="190">
        <v>3</v>
      </c>
    </row>
    <row r="21" spans="1:28" ht="14.5" thickTop="1" thickBot="1" x14ac:dyDescent="0.75">
      <c r="A21" s="4" t="s">
        <v>5</v>
      </c>
      <c r="B21" s="37">
        <v>3</v>
      </c>
      <c r="C21" s="37">
        <v>4</v>
      </c>
      <c r="D21" s="37">
        <v>4</v>
      </c>
      <c r="E21" s="37">
        <v>5</v>
      </c>
      <c r="F21" s="37">
        <v>5</v>
      </c>
      <c r="G21" s="37">
        <v>6</v>
      </c>
      <c r="H21" s="37">
        <v>5</v>
      </c>
      <c r="I21" s="15"/>
      <c r="J21" s="23"/>
      <c r="K21" s="23"/>
      <c r="L21" s="955" t="s">
        <v>595</v>
      </c>
      <c r="M21" s="956"/>
      <c r="N21" s="957"/>
      <c r="O21" s="961">
        <v>20</v>
      </c>
      <c r="P21" s="962"/>
      <c r="Q21" s="197">
        <v>21</v>
      </c>
      <c r="R21" s="921"/>
      <c r="S21" s="922"/>
      <c r="T21" s="922"/>
      <c r="U21" s="927"/>
      <c r="V21" s="929" t="s">
        <v>35</v>
      </c>
      <c r="W21" s="925" t="s">
        <v>36</v>
      </c>
    </row>
    <row r="22" spans="1:28" ht="14.5" thickTop="1" thickBot="1" x14ac:dyDescent="0.75">
      <c r="A22" s="4" t="s">
        <v>6</v>
      </c>
      <c r="B22" s="37">
        <v>2</v>
      </c>
      <c r="C22" s="37">
        <v>3</v>
      </c>
      <c r="D22" s="37">
        <v>3</v>
      </c>
      <c r="E22" s="37">
        <v>4</v>
      </c>
      <c r="F22" s="37">
        <v>4</v>
      </c>
      <c r="G22" s="37">
        <v>5</v>
      </c>
      <c r="H22" s="37">
        <v>4</v>
      </c>
      <c r="I22" s="15"/>
      <c r="J22" s="18"/>
      <c r="K22" s="18"/>
      <c r="L22" s="18"/>
      <c r="M22" s="18"/>
      <c r="N22" s="18"/>
      <c r="O22" s="18"/>
      <c r="P22" s="19"/>
      <c r="Q22" s="197">
        <v>22</v>
      </c>
      <c r="R22" s="923"/>
      <c r="S22" s="924"/>
      <c r="T22" s="924"/>
      <c r="U22" s="928"/>
      <c r="V22" s="930"/>
      <c r="W22" s="926"/>
    </row>
    <row r="23" spans="1:28" ht="13.5" customHeight="1" thickTop="1" x14ac:dyDescent="0.6">
      <c r="A23" s="4" t="s">
        <v>7</v>
      </c>
      <c r="B23" s="37">
        <v>1</v>
      </c>
      <c r="C23" s="37">
        <v>2</v>
      </c>
      <c r="D23" s="37">
        <v>2</v>
      </c>
      <c r="E23" s="37">
        <v>3</v>
      </c>
      <c r="F23" s="37">
        <v>3</v>
      </c>
      <c r="G23" s="37">
        <v>4</v>
      </c>
      <c r="H23" s="37">
        <v>3</v>
      </c>
      <c r="I23" s="15"/>
      <c r="J23" s="18"/>
      <c r="K23" s="909" t="s">
        <v>56</v>
      </c>
      <c r="L23" s="910"/>
      <c r="M23" s="910"/>
      <c r="N23" s="910"/>
      <c r="O23" s="910"/>
      <c r="P23" s="911"/>
      <c r="Q23" s="197">
        <v>23</v>
      </c>
      <c r="R23" s="933" t="s">
        <v>375</v>
      </c>
      <c r="S23" s="934"/>
      <c r="T23" s="894" t="s">
        <v>379</v>
      </c>
      <c r="U23" s="888"/>
      <c r="V23" s="195">
        <v>1</v>
      </c>
      <c r="W23" s="189">
        <v>2</v>
      </c>
      <c r="X23" s="194"/>
      <c r="Y23" s="59"/>
      <c r="Z23" s="886"/>
      <c r="AA23" s="830"/>
      <c r="AB23" s="3"/>
    </row>
    <row r="24" spans="1:28" x14ac:dyDescent="0.6">
      <c r="A24" s="4"/>
      <c r="B24" s="37"/>
      <c r="C24" s="37"/>
      <c r="D24" s="37"/>
      <c r="E24" s="37"/>
      <c r="F24" s="37"/>
      <c r="G24" s="37"/>
      <c r="H24" s="37"/>
      <c r="I24" s="15"/>
      <c r="J24" s="18"/>
      <c r="K24" s="912"/>
      <c r="L24" s="913"/>
      <c r="M24" s="913"/>
      <c r="N24" s="913"/>
      <c r="O24" s="913"/>
      <c r="P24" s="914"/>
      <c r="Q24" s="197">
        <v>24</v>
      </c>
      <c r="R24" s="935"/>
      <c r="S24" s="936"/>
      <c r="T24" s="894" t="s">
        <v>403</v>
      </c>
      <c r="U24" s="888"/>
      <c r="V24" s="195">
        <v>5</v>
      </c>
      <c r="W24" s="189">
        <v>10</v>
      </c>
      <c r="X24" s="59"/>
      <c r="Y24" s="59"/>
      <c r="Z24" s="886"/>
      <c r="AA24" s="830"/>
      <c r="AB24" s="3"/>
    </row>
    <row r="25" spans="1:28" x14ac:dyDescent="0.6">
      <c r="A25" s="4" t="s">
        <v>13</v>
      </c>
      <c r="B25" s="37">
        <v>1</v>
      </c>
      <c r="C25" s="37">
        <v>2</v>
      </c>
      <c r="D25" s="37">
        <v>2</v>
      </c>
      <c r="E25" s="37">
        <v>4</v>
      </c>
      <c r="F25" s="37">
        <v>3</v>
      </c>
      <c r="G25" s="37">
        <v>6</v>
      </c>
      <c r="H25" s="37">
        <v>5</v>
      </c>
      <c r="I25" s="15"/>
      <c r="J25" s="18"/>
      <c r="K25" s="4"/>
      <c r="L25" s="11" t="s">
        <v>47</v>
      </c>
      <c r="M25" s="11" t="s">
        <v>48</v>
      </c>
      <c r="N25" s="11" t="s">
        <v>49</v>
      </c>
      <c r="O25" s="12" t="s">
        <v>1</v>
      </c>
      <c r="P25" s="6"/>
      <c r="Q25" s="197">
        <v>25</v>
      </c>
      <c r="R25" s="937"/>
      <c r="S25" s="938"/>
      <c r="T25" s="894" t="s">
        <v>404</v>
      </c>
      <c r="U25" s="888"/>
      <c r="V25" s="195">
        <v>3</v>
      </c>
      <c r="W25" s="189">
        <v>6</v>
      </c>
      <c r="X25" s="59"/>
      <c r="Y25" s="59"/>
      <c r="Z25" s="886"/>
      <c r="AA25" s="830"/>
      <c r="AB25" s="3"/>
    </row>
    <row r="26" spans="1:28" x14ac:dyDescent="0.6">
      <c r="A26" s="4"/>
      <c r="B26" s="37"/>
      <c r="C26" s="37"/>
      <c r="D26" s="37"/>
      <c r="E26" s="37"/>
      <c r="F26" s="37"/>
      <c r="G26" s="37"/>
      <c r="H26" s="37"/>
      <c r="I26" s="15"/>
      <c r="J26" s="18"/>
      <c r="K26" s="4" t="s">
        <v>4</v>
      </c>
      <c r="L26" s="5">
        <v>18</v>
      </c>
      <c r="M26" s="5">
        <v>28</v>
      </c>
      <c r="N26" s="5">
        <v>38</v>
      </c>
      <c r="O26" s="5">
        <v>48</v>
      </c>
      <c r="P26" s="6"/>
      <c r="Q26" s="197">
        <v>26</v>
      </c>
      <c r="R26" s="887" t="s">
        <v>376</v>
      </c>
      <c r="S26" s="888"/>
      <c r="T26" s="894" t="s">
        <v>380</v>
      </c>
      <c r="U26" s="888"/>
      <c r="V26" s="196">
        <v>4</v>
      </c>
      <c r="W26" s="190">
        <v>6</v>
      </c>
      <c r="X26" s="194"/>
      <c r="Y26" s="59"/>
      <c r="Z26" s="886"/>
      <c r="AA26" s="830"/>
      <c r="AB26" s="3"/>
    </row>
    <row r="27" spans="1:28" x14ac:dyDescent="0.6">
      <c r="A27" s="4" t="s">
        <v>39</v>
      </c>
      <c r="B27" s="37"/>
      <c r="C27" s="37">
        <v>1</v>
      </c>
      <c r="D27" s="37"/>
      <c r="E27" s="37"/>
      <c r="F27" s="37"/>
      <c r="G27" s="37"/>
      <c r="H27" s="37"/>
      <c r="I27" s="15"/>
      <c r="J27" s="18"/>
      <c r="K27" s="4" t="s">
        <v>5</v>
      </c>
      <c r="L27" s="5">
        <v>16</v>
      </c>
      <c r="M27" s="5">
        <v>26</v>
      </c>
      <c r="N27" s="5">
        <v>36</v>
      </c>
      <c r="O27" s="5">
        <v>46</v>
      </c>
      <c r="P27" s="6"/>
      <c r="Q27" s="197">
        <v>27</v>
      </c>
      <c r="R27" s="889"/>
      <c r="S27" s="888"/>
      <c r="T27" s="894" t="s">
        <v>381</v>
      </c>
      <c r="U27" s="888"/>
      <c r="V27" s="884">
        <v>50</v>
      </c>
      <c r="W27" s="885"/>
      <c r="X27" s="59"/>
      <c r="Y27" s="59"/>
      <c r="Z27" s="886"/>
      <c r="AA27" s="830"/>
      <c r="AB27" s="3"/>
    </row>
    <row r="28" spans="1:28" ht="13.75" thickBot="1" x14ac:dyDescent="0.75">
      <c r="A28" s="4" t="s">
        <v>40</v>
      </c>
      <c r="B28" s="37"/>
      <c r="C28" s="37">
        <v>3</v>
      </c>
      <c r="D28" s="37"/>
      <c r="E28" s="37"/>
      <c r="F28" s="37"/>
      <c r="G28" s="37"/>
      <c r="H28" s="37"/>
      <c r="I28" s="15"/>
      <c r="J28" s="18"/>
      <c r="K28" s="4" t="s">
        <v>6</v>
      </c>
      <c r="L28" s="5">
        <v>14</v>
      </c>
      <c r="M28" s="5">
        <v>24</v>
      </c>
      <c r="N28" s="5">
        <v>34</v>
      </c>
      <c r="O28" s="5">
        <v>44</v>
      </c>
      <c r="P28" s="6"/>
      <c r="Q28" s="197">
        <v>28</v>
      </c>
      <c r="R28" s="890"/>
      <c r="S28" s="891"/>
      <c r="T28" s="895" t="s">
        <v>382</v>
      </c>
      <c r="U28" s="891"/>
      <c r="V28" s="892">
        <v>25</v>
      </c>
      <c r="W28" s="893"/>
      <c r="X28" s="59"/>
      <c r="Y28" s="59"/>
      <c r="Z28" s="886"/>
      <c r="AA28" s="830"/>
      <c r="AB28" s="3"/>
    </row>
    <row r="29" spans="1:28" ht="13.75" thickTop="1" x14ac:dyDescent="0.6">
      <c r="A29" s="28" t="s">
        <v>41</v>
      </c>
      <c r="B29" s="37"/>
      <c r="C29" s="37">
        <v>25</v>
      </c>
      <c r="D29" s="37"/>
      <c r="E29" s="37"/>
      <c r="F29" s="37"/>
      <c r="G29" s="37"/>
      <c r="H29" s="37"/>
      <c r="I29" s="15"/>
      <c r="J29" s="18"/>
      <c r="K29" s="4" t="s">
        <v>7</v>
      </c>
      <c r="L29" s="5">
        <v>12</v>
      </c>
      <c r="M29" s="5">
        <v>22</v>
      </c>
      <c r="N29" s="5">
        <v>32</v>
      </c>
      <c r="O29" s="5">
        <v>42</v>
      </c>
      <c r="P29" s="6"/>
      <c r="Q29" s="31"/>
    </row>
    <row r="30" spans="1:28" x14ac:dyDescent="0.6">
      <c r="A30" s="28" t="s">
        <v>42</v>
      </c>
      <c r="B30" s="37"/>
      <c r="C30" s="37">
        <v>25</v>
      </c>
      <c r="D30" s="37"/>
      <c r="E30" s="37"/>
      <c r="F30" s="37"/>
      <c r="G30" s="37"/>
      <c r="H30" s="37"/>
      <c r="I30" s="15"/>
      <c r="J30" s="18"/>
      <c r="K30" s="4" t="s">
        <v>50</v>
      </c>
      <c r="L30" s="5">
        <v>10</v>
      </c>
      <c r="M30" s="5">
        <v>20</v>
      </c>
      <c r="N30" s="5">
        <v>30</v>
      </c>
      <c r="O30" s="5">
        <v>40</v>
      </c>
      <c r="P30" s="6"/>
      <c r="Q30" s="31"/>
      <c r="R30" s="1" t="s">
        <v>405</v>
      </c>
      <c r="S30" s="1" t="s">
        <v>406</v>
      </c>
      <c r="T30" s="1" t="s">
        <v>407</v>
      </c>
      <c r="U30" s="1" t="s">
        <v>408</v>
      </c>
      <c r="V30" s="1" t="s">
        <v>409</v>
      </c>
      <c r="W30" s="1" t="s">
        <v>410</v>
      </c>
    </row>
    <row r="31" spans="1:28" x14ac:dyDescent="0.6">
      <c r="A31" s="28" t="s">
        <v>43</v>
      </c>
      <c r="B31" s="37"/>
      <c r="C31" s="37">
        <v>5</v>
      </c>
      <c r="D31" s="37"/>
      <c r="E31" s="37"/>
      <c r="F31" s="37"/>
      <c r="G31" s="37"/>
      <c r="H31" s="37"/>
      <c r="I31" s="15"/>
      <c r="J31" s="18"/>
      <c r="K31" s="4"/>
      <c r="L31" s="7"/>
      <c r="M31" s="7"/>
      <c r="N31" s="7"/>
      <c r="O31" s="5"/>
      <c r="P31" s="6"/>
      <c r="Q31" s="31"/>
    </row>
    <row r="32" spans="1:28" x14ac:dyDescent="0.6">
      <c r="A32" s="4"/>
      <c r="B32" s="7"/>
      <c r="C32" s="7"/>
      <c r="D32" s="7"/>
      <c r="E32" s="7"/>
      <c r="F32" s="7"/>
      <c r="G32" s="7"/>
      <c r="H32" s="7"/>
      <c r="I32" s="6"/>
      <c r="J32" s="18"/>
      <c r="K32" s="4"/>
      <c r="L32" s="5"/>
      <c r="M32" s="5"/>
      <c r="N32" s="5"/>
      <c r="O32" s="5"/>
      <c r="P32" s="6"/>
      <c r="Q32" s="31"/>
    </row>
    <row r="33" spans="1:22" x14ac:dyDescent="0.6">
      <c r="A33" s="906" t="s">
        <v>44</v>
      </c>
      <c r="B33" s="907"/>
      <c r="C33" s="907"/>
      <c r="D33" s="907"/>
      <c r="E33" s="907"/>
      <c r="F33" s="907"/>
      <c r="G33" s="907"/>
      <c r="H33" s="907"/>
      <c r="I33" s="908"/>
      <c r="J33" s="18"/>
      <c r="K33" s="4"/>
      <c r="L33" s="5"/>
      <c r="M33" s="5"/>
      <c r="N33" s="5"/>
      <c r="O33" s="5"/>
      <c r="P33" s="6"/>
      <c r="Q33" s="31"/>
    </row>
    <row r="34" spans="1:22" ht="12.75" customHeight="1" thickBot="1" x14ac:dyDescent="0.75">
      <c r="A34" s="8"/>
      <c r="B34" s="9"/>
      <c r="C34" s="9"/>
      <c r="D34" s="9"/>
      <c r="E34" s="9"/>
      <c r="F34" s="9"/>
      <c r="G34" s="9"/>
      <c r="H34" s="9"/>
      <c r="I34" s="33"/>
      <c r="J34" s="18"/>
      <c r="K34" s="13"/>
      <c r="L34" s="14"/>
      <c r="M34" s="14"/>
      <c r="N34" s="14"/>
      <c r="O34" s="5"/>
      <c r="P34" s="6"/>
      <c r="Q34" s="31"/>
    </row>
    <row r="35" spans="1:22" ht="13.75" thickTop="1" x14ac:dyDescent="0.6">
      <c r="A35" s="17"/>
      <c r="B35" s="18"/>
      <c r="C35" s="18"/>
      <c r="D35" s="18"/>
      <c r="E35" s="18"/>
      <c r="F35" s="18"/>
      <c r="G35" s="18"/>
      <c r="H35" s="18"/>
      <c r="I35" s="18"/>
      <c r="J35" s="18"/>
      <c r="K35" s="4"/>
      <c r="L35" s="5" t="s">
        <v>51</v>
      </c>
      <c r="M35" s="5" t="s">
        <v>52</v>
      </c>
      <c r="N35" s="5" t="s">
        <v>53</v>
      </c>
      <c r="O35" s="5" t="s">
        <v>65</v>
      </c>
      <c r="P35" s="6" t="s">
        <v>64</v>
      </c>
      <c r="Q35" s="31"/>
    </row>
    <row r="36" spans="1:22" x14ac:dyDescent="0.6">
      <c r="A36" s="17"/>
      <c r="B36" s="18"/>
      <c r="C36" s="18"/>
      <c r="D36" s="18"/>
      <c r="E36" s="18"/>
      <c r="F36" s="18"/>
      <c r="G36" s="18"/>
      <c r="H36" s="18"/>
      <c r="I36" s="18"/>
      <c r="J36" s="18"/>
      <c r="K36" s="4" t="s">
        <v>13</v>
      </c>
      <c r="L36" s="5">
        <v>2</v>
      </c>
      <c r="M36" s="5">
        <v>5</v>
      </c>
      <c r="N36" s="5">
        <v>8</v>
      </c>
      <c r="O36" s="5">
        <v>1</v>
      </c>
      <c r="P36" s="15">
        <v>3</v>
      </c>
      <c r="Q36" s="31"/>
    </row>
    <row r="37" spans="1:22" ht="12.75" customHeight="1" x14ac:dyDescent="0.6">
      <c r="A37" s="17"/>
      <c r="B37" s="18"/>
      <c r="C37" s="18"/>
      <c r="D37" s="18"/>
      <c r="E37" s="18"/>
      <c r="F37" s="18"/>
      <c r="G37" s="18"/>
      <c r="H37" s="18"/>
      <c r="I37" s="18"/>
      <c r="J37" s="18"/>
      <c r="K37" s="40" t="s">
        <v>54</v>
      </c>
      <c r="L37" s="37">
        <v>8</v>
      </c>
      <c r="M37" s="37">
        <v>9</v>
      </c>
      <c r="N37" s="37" t="s">
        <v>55</v>
      </c>
      <c r="O37" s="37">
        <v>2</v>
      </c>
      <c r="P37" s="38">
        <v>2</v>
      </c>
      <c r="Q37" s="31"/>
    </row>
    <row r="38" spans="1:22" ht="13.75" thickBot="1" x14ac:dyDescent="0.75">
      <c r="A38" s="17"/>
      <c r="B38" s="18"/>
      <c r="C38" s="18"/>
      <c r="D38" s="18"/>
      <c r="E38" s="18"/>
      <c r="F38" s="18"/>
      <c r="G38" s="18"/>
      <c r="H38" s="18"/>
      <c r="I38" s="18"/>
      <c r="J38" s="18"/>
      <c r="K38" s="40"/>
      <c r="L38" s="37"/>
      <c r="M38" s="37"/>
      <c r="N38" s="37"/>
      <c r="O38" s="37"/>
      <c r="P38" s="38"/>
      <c r="Q38" s="31"/>
    </row>
    <row r="39" spans="1:22" ht="12.75" customHeight="1" thickTop="1" x14ac:dyDescent="0.6">
      <c r="A39" s="909" t="s">
        <v>45</v>
      </c>
      <c r="B39" s="910"/>
      <c r="C39" s="910"/>
      <c r="D39" s="910"/>
      <c r="E39" s="910"/>
      <c r="F39" s="910"/>
      <c r="G39" s="910"/>
      <c r="H39" s="910"/>
      <c r="I39" s="911"/>
      <c r="J39" s="18"/>
      <c r="K39" s="40"/>
      <c r="L39" s="37"/>
      <c r="M39" s="37"/>
      <c r="N39" s="37"/>
      <c r="O39" s="37"/>
      <c r="P39" s="38"/>
      <c r="Q39" s="31"/>
    </row>
    <row r="40" spans="1:22" ht="13.75" thickBot="1" x14ac:dyDescent="0.75">
      <c r="A40" s="912"/>
      <c r="B40" s="913"/>
      <c r="C40" s="913"/>
      <c r="D40" s="913"/>
      <c r="E40" s="913"/>
      <c r="F40" s="913"/>
      <c r="G40" s="913"/>
      <c r="H40" s="913"/>
      <c r="I40" s="914"/>
      <c r="J40" s="18"/>
      <c r="K40" s="8"/>
      <c r="L40" s="9"/>
      <c r="M40" s="9"/>
      <c r="N40" s="9"/>
      <c r="O40" s="9"/>
      <c r="P40" s="10"/>
      <c r="Q40" s="31"/>
    </row>
    <row r="41" spans="1:22" ht="27.5" thickTop="1" thickBot="1" x14ac:dyDescent="0.75">
      <c r="A41" s="4"/>
      <c r="B41" s="7"/>
      <c r="C41" s="11" t="s">
        <v>0</v>
      </c>
      <c r="D41" s="11"/>
      <c r="E41" s="11" t="s">
        <v>2</v>
      </c>
      <c r="F41" s="11"/>
      <c r="G41" s="11" t="s">
        <v>46</v>
      </c>
      <c r="H41" s="11"/>
      <c r="I41" s="159" t="s">
        <v>53</v>
      </c>
      <c r="J41" s="18"/>
      <c r="K41" s="18"/>
      <c r="L41" s="18"/>
      <c r="M41" s="18"/>
      <c r="N41" s="18"/>
      <c r="O41" s="18"/>
      <c r="P41" s="19"/>
      <c r="Q41" s="31"/>
    </row>
    <row r="42" spans="1:22" ht="13.5" customHeight="1" thickTop="1" x14ac:dyDescent="0.6">
      <c r="A42" s="4" t="s">
        <v>4</v>
      </c>
      <c r="B42" s="7"/>
      <c r="C42" s="5">
        <v>4</v>
      </c>
      <c r="D42" s="5"/>
      <c r="E42" s="5">
        <v>5</v>
      </c>
      <c r="F42" s="5"/>
      <c r="G42" s="5">
        <v>6</v>
      </c>
      <c r="H42" s="5"/>
      <c r="I42" s="15">
        <v>7</v>
      </c>
      <c r="J42" s="18"/>
      <c r="K42" s="18"/>
      <c r="L42" s="915" t="s">
        <v>57</v>
      </c>
      <c r="M42" s="916"/>
      <c r="N42" s="916"/>
      <c r="O42" s="916"/>
      <c r="P42" s="917"/>
      <c r="Q42" s="31"/>
    </row>
    <row r="43" spans="1:22" ht="12.75" customHeight="1" x14ac:dyDescent="0.6">
      <c r="A43" s="4" t="s">
        <v>5</v>
      </c>
      <c r="B43" s="7"/>
      <c r="C43" s="5">
        <v>3</v>
      </c>
      <c r="D43" s="5"/>
      <c r="E43" s="5">
        <v>4</v>
      </c>
      <c r="F43" s="5"/>
      <c r="G43" s="5">
        <v>5</v>
      </c>
      <c r="H43" s="5"/>
      <c r="I43" s="15">
        <v>6</v>
      </c>
      <c r="J43" s="18"/>
      <c r="K43" s="18"/>
      <c r="L43" s="918"/>
      <c r="M43" s="904"/>
      <c r="N43" s="904"/>
      <c r="O43" s="904"/>
      <c r="P43" s="905"/>
      <c r="Q43" s="31"/>
      <c r="R43" s="194"/>
      <c r="S43" s="194"/>
      <c r="T43" s="194"/>
      <c r="U43" s="59"/>
      <c r="V43" s="3"/>
    </row>
    <row r="44" spans="1:22" ht="12.75" customHeight="1" x14ac:dyDescent="0.6">
      <c r="A44" s="4" t="s">
        <v>6</v>
      </c>
      <c r="B44" s="7"/>
      <c r="C44" s="5">
        <v>2</v>
      </c>
      <c r="D44" s="5"/>
      <c r="E44" s="5">
        <v>3</v>
      </c>
      <c r="F44" s="5"/>
      <c r="G44" s="5">
        <v>4</v>
      </c>
      <c r="H44" s="5"/>
      <c r="I44" s="15">
        <v>5</v>
      </c>
      <c r="J44" s="18"/>
      <c r="K44" s="18"/>
      <c r="L44" s="919" t="s">
        <v>58</v>
      </c>
      <c r="M44" s="920"/>
      <c r="N44" s="920"/>
      <c r="O44" s="34">
        <v>1</v>
      </c>
      <c r="P44" s="6"/>
      <c r="Q44" s="31"/>
      <c r="R44" s="194"/>
      <c r="S44" s="194"/>
      <c r="T44" s="194"/>
      <c r="U44" s="59"/>
      <c r="V44" s="3"/>
    </row>
    <row r="45" spans="1:22" ht="12.75" customHeight="1" x14ac:dyDescent="0.6">
      <c r="A45" s="4" t="s">
        <v>7</v>
      </c>
      <c r="B45" s="7"/>
      <c r="C45" s="5">
        <v>1</v>
      </c>
      <c r="D45" s="5"/>
      <c r="E45" s="5">
        <v>2</v>
      </c>
      <c r="F45" s="5"/>
      <c r="G45" s="5">
        <v>3</v>
      </c>
      <c r="H45" s="5"/>
      <c r="I45" s="15">
        <v>4</v>
      </c>
      <c r="J45" s="18"/>
      <c r="K45" s="18"/>
      <c r="L45" s="906" t="s">
        <v>59</v>
      </c>
      <c r="M45" s="907"/>
      <c r="N45" s="907"/>
      <c r="O45" s="34">
        <v>6</v>
      </c>
      <c r="P45" s="6"/>
      <c r="Q45" s="31"/>
      <c r="R45" s="194"/>
      <c r="S45" s="194"/>
      <c r="T45" s="194"/>
      <c r="U45" s="59"/>
      <c r="V45" s="3"/>
    </row>
    <row r="46" spans="1:22" ht="12.75" customHeight="1" x14ac:dyDescent="0.6">
      <c r="A46" s="4"/>
      <c r="B46" s="7"/>
      <c r="C46" s="5"/>
      <c r="D46" s="5"/>
      <c r="E46" s="5"/>
      <c r="F46" s="5"/>
      <c r="G46" s="5"/>
      <c r="H46" s="5"/>
      <c r="I46" s="15"/>
      <c r="J46" s="18"/>
      <c r="K46" s="18"/>
      <c r="L46" s="906" t="s">
        <v>61</v>
      </c>
      <c r="M46" s="907"/>
      <c r="N46" s="907"/>
      <c r="O46" s="34">
        <v>12</v>
      </c>
      <c r="P46" s="6"/>
      <c r="Q46" s="31"/>
      <c r="R46" s="194"/>
      <c r="S46" s="59"/>
      <c r="T46" s="194"/>
      <c r="U46" s="59"/>
      <c r="V46" s="3"/>
    </row>
    <row r="47" spans="1:22" ht="12.75" customHeight="1" x14ac:dyDescent="0.6">
      <c r="A47" s="4" t="s">
        <v>13</v>
      </c>
      <c r="B47" s="7"/>
      <c r="C47" s="5">
        <v>1</v>
      </c>
      <c r="D47" s="5"/>
      <c r="E47" s="5">
        <v>3</v>
      </c>
      <c r="F47" s="5"/>
      <c r="G47" s="5">
        <v>5</v>
      </c>
      <c r="H47" s="5"/>
      <c r="I47" s="15">
        <v>7</v>
      </c>
      <c r="J47" s="18"/>
      <c r="K47" s="18"/>
      <c r="L47" s="906" t="s">
        <v>60</v>
      </c>
      <c r="M47" s="907"/>
      <c r="N47" s="907"/>
      <c r="O47" s="34">
        <v>20</v>
      </c>
      <c r="P47" s="6"/>
      <c r="Q47" s="31"/>
      <c r="R47" s="59"/>
      <c r="S47" s="59"/>
      <c r="T47" s="194"/>
      <c r="U47" s="59"/>
      <c r="V47" s="3"/>
    </row>
    <row r="48" spans="1:22" ht="12.75" customHeight="1" x14ac:dyDescent="0.6">
      <c r="A48" s="4"/>
      <c r="B48" s="7"/>
      <c r="C48" s="5"/>
      <c r="D48" s="5"/>
      <c r="E48" s="5"/>
      <c r="F48" s="5"/>
      <c r="G48" s="5"/>
      <c r="H48" s="5"/>
      <c r="I48" s="15"/>
      <c r="J48" s="18"/>
      <c r="K48" s="18"/>
      <c r="L48" s="906"/>
      <c r="M48" s="907"/>
      <c r="N48" s="907"/>
      <c r="O48" s="34"/>
      <c r="P48" s="6"/>
      <c r="Q48" s="31"/>
      <c r="R48" s="59"/>
      <c r="S48" s="59"/>
      <c r="T48" s="194"/>
      <c r="U48" s="59"/>
      <c r="V48" s="3"/>
    </row>
    <row r="49" spans="1:22" ht="12.75" customHeight="1" x14ac:dyDescent="0.6">
      <c r="A49" s="28" t="s">
        <v>44</v>
      </c>
      <c r="B49" s="29"/>
      <c r="C49" s="29"/>
      <c r="D49" s="29"/>
      <c r="E49" s="29"/>
      <c r="F49" s="29"/>
      <c r="G49" s="29"/>
      <c r="H49" s="29"/>
      <c r="I49" s="41"/>
      <c r="J49" s="18"/>
      <c r="K49" s="18"/>
      <c r="L49" s="906" t="s">
        <v>62</v>
      </c>
      <c r="M49" s="907"/>
      <c r="N49" s="907"/>
      <c r="O49" s="34">
        <v>5</v>
      </c>
      <c r="P49" s="6"/>
      <c r="Q49" s="31"/>
      <c r="R49" s="194"/>
      <c r="S49" s="59"/>
      <c r="T49" s="194"/>
      <c r="U49" s="59"/>
      <c r="V49" s="3"/>
    </row>
    <row r="50" spans="1:22" ht="12.75" customHeight="1" x14ac:dyDescent="0.6">
      <c r="A50" s="4" t="s">
        <v>339</v>
      </c>
      <c r="B50" s="7"/>
      <c r="C50" s="5">
        <v>3</v>
      </c>
      <c r="D50" s="7"/>
      <c r="E50" s="7"/>
      <c r="F50" s="7"/>
      <c r="G50" s="7"/>
      <c r="H50" s="7"/>
      <c r="I50" s="6"/>
      <c r="J50" s="18"/>
      <c r="K50" s="18"/>
      <c r="L50" s="28"/>
      <c r="M50" s="29"/>
      <c r="N50" s="29"/>
      <c r="O50" s="7"/>
      <c r="P50" s="6"/>
      <c r="Q50" s="31"/>
      <c r="R50" s="59"/>
      <c r="S50" s="59"/>
      <c r="T50" s="194"/>
      <c r="U50" s="59"/>
      <c r="V50" s="3"/>
    </row>
    <row r="51" spans="1:22" ht="13.5" customHeight="1" thickBot="1" x14ac:dyDescent="0.75">
      <c r="A51" s="8"/>
      <c r="B51" s="9"/>
      <c r="C51" s="9"/>
      <c r="D51" s="9"/>
      <c r="E51" s="9"/>
      <c r="F51" s="9"/>
      <c r="G51" s="9"/>
      <c r="H51" s="9"/>
      <c r="I51" s="33"/>
      <c r="J51" s="22"/>
      <c r="K51" s="22"/>
      <c r="L51" s="8"/>
      <c r="M51" s="9"/>
      <c r="N51" s="9"/>
      <c r="O51" s="24"/>
      <c r="P51" s="10"/>
      <c r="Q51" s="31"/>
      <c r="R51" s="59"/>
      <c r="S51" s="59"/>
      <c r="T51" s="194"/>
      <c r="U51" s="59"/>
      <c r="V51" s="3"/>
    </row>
    <row r="52" spans="1:22" ht="14.5" thickTop="1" thickBot="1" x14ac:dyDescent="0.75">
      <c r="O52" s="1"/>
      <c r="P52" s="1"/>
    </row>
    <row r="53" spans="1:22" ht="16.25" thickTop="1" x14ac:dyDescent="0.6">
      <c r="A53" s="898" t="s">
        <v>122</v>
      </c>
      <c r="B53" s="899"/>
      <c r="C53" s="899"/>
      <c r="D53" s="899"/>
      <c r="E53" s="900"/>
      <c r="F53" s="70"/>
      <c r="O53" s="1"/>
      <c r="P53" s="1"/>
    </row>
    <row r="54" spans="1:22" ht="15.5" x14ac:dyDescent="0.6">
      <c r="A54" s="901"/>
      <c r="B54" s="902"/>
      <c r="C54" s="902"/>
      <c r="D54" s="902"/>
      <c r="E54" s="903"/>
      <c r="F54" s="70"/>
    </row>
    <row r="55" spans="1:22" x14ac:dyDescent="0.6">
      <c r="A55" s="39" t="s">
        <v>4</v>
      </c>
      <c r="B55" s="37"/>
      <c r="C55" s="904">
        <v>8</v>
      </c>
      <c r="D55" s="904"/>
      <c r="E55" s="905"/>
      <c r="F55" s="161"/>
    </row>
    <row r="56" spans="1:22" x14ac:dyDescent="0.6">
      <c r="A56" s="39" t="s">
        <v>5</v>
      </c>
      <c r="B56" s="37"/>
      <c r="C56" s="904">
        <v>6</v>
      </c>
      <c r="D56" s="904"/>
      <c r="E56" s="905"/>
      <c r="F56" s="161"/>
    </row>
    <row r="57" spans="1:22" x14ac:dyDescent="0.6">
      <c r="A57" s="39" t="s">
        <v>6</v>
      </c>
      <c r="B57" s="37"/>
      <c r="C57" s="904">
        <v>4</v>
      </c>
      <c r="D57" s="904"/>
      <c r="E57" s="905"/>
      <c r="F57" s="161"/>
    </row>
    <row r="58" spans="1:22" ht="13.75" thickBot="1" x14ac:dyDescent="0.75">
      <c r="A58" s="142" t="s">
        <v>7</v>
      </c>
      <c r="B58" s="156"/>
      <c r="C58" s="896">
        <v>2</v>
      </c>
      <c r="D58" s="896"/>
      <c r="E58" s="897"/>
      <c r="F58" s="161"/>
    </row>
    <row r="59" spans="1:22" ht="13.75" thickTop="1" x14ac:dyDescent="0.6"/>
    <row r="60" spans="1:22" ht="13.75" thickBot="1" x14ac:dyDescent="0.75"/>
    <row r="61" spans="1:22" ht="21" thickTop="1" x14ac:dyDescent="0.6">
      <c r="A61" s="909" t="s">
        <v>618</v>
      </c>
      <c r="B61" s="910"/>
      <c r="C61" s="910"/>
      <c r="D61" s="910"/>
      <c r="E61" s="910"/>
      <c r="F61" s="910"/>
      <c r="G61" s="910"/>
      <c r="H61" s="910"/>
      <c r="I61" s="911"/>
    </row>
    <row r="62" spans="1:22" x14ac:dyDescent="0.6">
      <c r="A62" s="39"/>
      <c r="B62" s="37"/>
      <c r="C62" s="37"/>
      <c r="D62" s="37"/>
      <c r="E62" s="37"/>
      <c r="F62" s="37"/>
      <c r="G62" s="37"/>
      <c r="H62" s="37"/>
      <c r="I62" s="38"/>
    </row>
    <row r="63" spans="1:22" ht="26" x14ac:dyDescent="0.6">
      <c r="A63" s="4"/>
      <c r="B63" s="296"/>
      <c r="C63" s="296" t="s">
        <v>619</v>
      </c>
      <c r="D63" s="296"/>
      <c r="E63" s="296" t="s">
        <v>620</v>
      </c>
      <c r="F63" s="296"/>
      <c r="G63" s="296" t="s">
        <v>621</v>
      </c>
      <c r="H63" s="296"/>
      <c r="I63" s="160"/>
    </row>
    <row r="64" spans="1:22" x14ac:dyDescent="0.6">
      <c r="A64" s="4" t="s">
        <v>4</v>
      </c>
      <c r="B64" s="37"/>
      <c r="C64" s="37">
        <v>5</v>
      </c>
      <c r="D64" s="37"/>
      <c r="E64" s="37">
        <v>6</v>
      </c>
      <c r="F64" s="37"/>
      <c r="G64" s="37">
        <v>7</v>
      </c>
      <c r="H64" s="37"/>
      <c r="I64" s="15"/>
    </row>
    <row r="65" spans="1:9" x14ac:dyDescent="0.6">
      <c r="A65" s="4" t="s">
        <v>5</v>
      </c>
      <c r="B65" s="37"/>
      <c r="C65" s="37">
        <v>4</v>
      </c>
      <c r="D65" s="37"/>
      <c r="E65" s="37">
        <v>5</v>
      </c>
      <c r="F65" s="37"/>
      <c r="G65" s="37">
        <v>6</v>
      </c>
      <c r="H65" s="37"/>
      <c r="I65" s="15"/>
    </row>
    <row r="66" spans="1:9" x14ac:dyDescent="0.6">
      <c r="A66" s="4" t="s">
        <v>6</v>
      </c>
      <c r="B66" s="37"/>
      <c r="C66" s="37">
        <v>3</v>
      </c>
      <c r="D66" s="37"/>
      <c r="E66" s="37">
        <v>4</v>
      </c>
      <c r="F66" s="37"/>
      <c r="G66" s="37">
        <v>5</v>
      </c>
      <c r="H66" s="37"/>
      <c r="I66" s="15"/>
    </row>
    <row r="67" spans="1:9" x14ac:dyDescent="0.6">
      <c r="A67" s="4" t="s">
        <v>7</v>
      </c>
      <c r="B67" s="37"/>
      <c r="C67" s="37">
        <v>2</v>
      </c>
      <c r="D67" s="37"/>
      <c r="E67" s="37">
        <v>3</v>
      </c>
      <c r="F67" s="37"/>
      <c r="G67" s="37">
        <v>4</v>
      </c>
      <c r="H67" s="37"/>
      <c r="I67" s="15"/>
    </row>
    <row r="68" spans="1:9" x14ac:dyDescent="0.6">
      <c r="A68" s="4"/>
      <c r="B68" s="37"/>
      <c r="C68" s="37"/>
      <c r="D68" s="37"/>
      <c r="E68" s="37"/>
      <c r="F68" s="37"/>
      <c r="G68" s="37"/>
      <c r="H68" s="37"/>
      <c r="I68" s="15"/>
    </row>
    <row r="69" spans="1:9" x14ac:dyDescent="0.6">
      <c r="A69" s="4" t="s">
        <v>13</v>
      </c>
      <c r="B69" s="37"/>
      <c r="C69" s="37">
        <v>2</v>
      </c>
      <c r="D69" s="37"/>
      <c r="E69" s="37">
        <v>4</v>
      </c>
      <c r="F69" s="37"/>
      <c r="G69" s="37">
        <v>6</v>
      </c>
      <c r="H69" s="37"/>
      <c r="I69" s="15"/>
    </row>
    <row r="70" spans="1:9" x14ac:dyDescent="0.6">
      <c r="A70" s="4"/>
      <c r="B70" s="37"/>
      <c r="C70" s="37"/>
      <c r="D70" s="37"/>
      <c r="E70" s="37"/>
      <c r="F70" s="37"/>
      <c r="G70" s="37"/>
      <c r="H70" s="37"/>
      <c r="I70" s="15"/>
    </row>
    <row r="71" spans="1:9" x14ac:dyDescent="0.6">
      <c r="A71" s="4" t="s">
        <v>39</v>
      </c>
      <c r="B71" s="37"/>
      <c r="C71" s="37">
        <v>1</v>
      </c>
      <c r="D71" s="37"/>
      <c r="E71" s="37"/>
      <c r="F71" s="37"/>
      <c r="G71" s="37"/>
      <c r="H71" s="37"/>
      <c r="I71" s="15"/>
    </row>
    <row r="72" spans="1:9" x14ac:dyDescent="0.6">
      <c r="A72" s="158" t="s">
        <v>622</v>
      </c>
      <c r="B72" s="37"/>
      <c r="C72" s="37">
        <v>3</v>
      </c>
      <c r="D72" s="37"/>
      <c r="E72" s="37"/>
      <c r="F72" s="37"/>
      <c r="G72" s="37"/>
      <c r="H72" s="37"/>
      <c r="I72" s="15"/>
    </row>
    <row r="73" spans="1:9" x14ac:dyDescent="0.6">
      <c r="A73" s="28" t="s">
        <v>41</v>
      </c>
      <c r="B73" s="37"/>
      <c r="C73" s="37">
        <v>25</v>
      </c>
      <c r="D73" s="37"/>
      <c r="E73" s="37"/>
      <c r="F73" s="37"/>
      <c r="G73" s="37"/>
      <c r="H73" s="37"/>
      <c r="I73" s="15"/>
    </row>
    <row r="74" spans="1:9" x14ac:dyDescent="0.6">
      <c r="A74" s="28" t="s">
        <v>42</v>
      </c>
      <c r="B74" s="37"/>
      <c r="C74" s="37">
        <v>25</v>
      </c>
      <c r="D74" s="37"/>
      <c r="E74" s="37"/>
      <c r="F74" s="37"/>
      <c r="G74" s="37"/>
      <c r="H74" s="37"/>
      <c r="I74" s="15"/>
    </row>
    <row r="75" spans="1:9" x14ac:dyDescent="0.6">
      <c r="A75" s="297" t="s">
        <v>605</v>
      </c>
      <c r="B75" s="37"/>
      <c r="C75" s="37">
        <v>5</v>
      </c>
      <c r="D75" s="37"/>
      <c r="E75" s="37"/>
      <c r="F75" s="37"/>
      <c r="G75" s="37"/>
      <c r="H75" s="37"/>
      <c r="I75" s="15"/>
    </row>
    <row r="76" spans="1:9" x14ac:dyDescent="0.6">
      <c r="A76" s="4"/>
      <c r="B76" s="7"/>
      <c r="C76" s="7"/>
      <c r="D76" s="7"/>
      <c r="E76" s="7"/>
      <c r="F76" s="7"/>
      <c r="G76" s="7"/>
      <c r="H76" s="7"/>
      <c r="I76" s="6"/>
    </row>
    <row r="77" spans="1:9" x14ac:dyDescent="0.6">
      <c r="A77" s="906" t="s">
        <v>44</v>
      </c>
      <c r="B77" s="907"/>
      <c r="C77" s="907"/>
      <c r="D77" s="907"/>
      <c r="E77" s="907"/>
      <c r="F77" s="907"/>
      <c r="G77" s="907"/>
      <c r="H77" s="907"/>
      <c r="I77" s="908"/>
    </row>
    <row r="78" spans="1:9" ht="13.75" thickBot="1" x14ac:dyDescent="0.75">
      <c r="A78" s="8"/>
      <c r="B78" s="9"/>
      <c r="C78" s="9"/>
      <c r="D78" s="9"/>
      <c r="E78" s="9"/>
      <c r="F78" s="9"/>
      <c r="G78" s="9"/>
      <c r="H78" s="9"/>
      <c r="I78" s="33"/>
    </row>
    <row r="79" spans="1:9" ht="13.75" thickTop="1" x14ac:dyDescent="0.6"/>
    <row r="81" spans="1:9" ht="13.75" thickBot="1" x14ac:dyDescent="0.75"/>
    <row r="82" spans="1:9" ht="21" thickTop="1" x14ac:dyDescent="0.6">
      <c r="A82" s="909" t="s">
        <v>750</v>
      </c>
      <c r="B82" s="910"/>
      <c r="C82" s="910"/>
      <c r="D82" s="910"/>
      <c r="E82" s="910"/>
      <c r="F82" s="910"/>
      <c r="G82" s="910"/>
      <c r="H82" s="910"/>
      <c r="I82" s="911"/>
    </row>
    <row r="83" spans="1:9" x14ac:dyDescent="0.6">
      <c r="A83" s="39"/>
      <c r="B83" s="37"/>
      <c r="C83" s="37"/>
      <c r="D83" s="37"/>
      <c r="E83" s="37"/>
      <c r="F83" s="37"/>
      <c r="G83" s="37"/>
      <c r="H83" s="37"/>
      <c r="I83" s="38"/>
    </row>
    <row r="84" spans="1:9" ht="26" x14ac:dyDescent="0.6">
      <c r="A84" s="4"/>
      <c r="B84" s="321" t="s">
        <v>751</v>
      </c>
      <c r="C84" s="322" t="s">
        <v>752</v>
      </c>
      <c r="D84" s="322" t="s">
        <v>753</v>
      </c>
      <c r="E84" s="322" t="s">
        <v>754</v>
      </c>
      <c r="F84" s="323" t="s">
        <v>755</v>
      </c>
      <c r="G84" s="323" t="s">
        <v>756</v>
      </c>
      <c r="H84" s="322" t="s">
        <v>746</v>
      </c>
      <c r="I84" s="160"/>
    </row>
    <row r="85" spans="1:9" x14ac:dyDescent="0.6">
      <c r="A85" s="158" t="s">
        <v>757</v>
      </c>
      <c r="B85" s="37">
        <v>2</v>
      </c>
      <c r="C85" s="37">
        <v>2</v>
      </c>
      <c r="D85" s="37">
        <v>3</v>
      </c>
      <c r="E85" s="37">
        <v>4</v>
      </c>
      <c r="F85" s="37">
        <v>5</v>
      </c>
      <c r="G85" s="37">
        <v>7</v>
      </c>
      <c r="H85" s="37">
        <v>9</v>
      </c>
      <c r="I85" s="15"/>
    </row>
    <row r="86" spans="1:9" x14ac:dyDescent="0.6">
      <c r="A86" s="158" t="s">
        <v>425</v>
      </c>
      <c r="B86" s="37">
        <v>2</v>
      </c>
      <c r="C86" s="37">
        <v>2</v>
      </c>
      <c r="D86" s="37">
        <v>3</v>
      </c>
      <c r="E86" s="37">
        <v>4</v>
      </c>
      <c r="F86" s="37">
        <v>5</v>
      </c>
      <c r="G86" s="37">
        <v>7</v>
      </c>
      <c r="H86" s="37">
        <v>9</v>
      </c>
      <c r="I86" s="15"/>
    </row>
    <row r="87" spans="1:9" x14ac:dyDescent="0.6">
      <c r="A87" s="158" t="s">
        <v>300</v>
      </c>
      <c r="B87" s="37">
        <v>3</v>
      </c>
      <c r="C87" s="37">
        <v>3</v>
      </c>
      <c r="D87" s="37">
        <v>4</v>
      </c>
      <c r="E87" s="37">
        <v>5</v>
      </c>
      <c r="F87" s="37">
        <v>7</v>
      </c>
      <c r="G87" s="37">
        <v>8</v>
      </c>
      <c r="H87" s="37">
        <v>9</v>
      </c>
      <c r="I87" s="15"/>
    </row>
    <row r="88" spans="1:9" x14ac:dyDescent="0.6">
      <c r="A88" s="158" t="s">
        <v>758</v>
      </c>
      <c r="B88" s="37">
        <v>3</v>
      </c>
      <c r="C88" s="37">
        <v>3</v>
      </c>
      <c r="D88" s="37">
        <v>4</v>
      </c>
      <c r="E88" s="37">
        <v>5</v>
      </c>
      <c r="F88" s="37">
        <v>7</v>
      </c>
      <c r="G88" s="37">
        <v>8</v>
      </c>
      <c r="H88" s="37">
        <v>9</v>
      </c>
      <c r="I88" s="15"/>
    </row>
    <row r="89" spans="1:9" x14ac:dyDescent="0.6">
      <c r="A89" s="158" t="s">
        <v>425</v>
      </c>
      <c r="B89" s="37">
        <v>4</v>
      </c>
      <c r="C89" s="37">
        <v>4</v>
      </c>
      <c r="D89" s="37">
        <v>5</v>
      </c>
      <c r="E89" s="37">
        <v>6</v>
      </c>
      <c r="F89" s="37">
        <v>8</v>
      </c>
      <c r="G89" s="37">
        <v>9</v>
      </c>
      <c r="H89" s="37">
        <v>10</v>
      </c>
      <c r="I89" s="15"/>
    </row>
    <row r="90" spans="1:9" x14ac:dyDescent="0.6">
      <c r="A90" s="158" t="s">
        <v>759</v>
      </c>
      <c r="B90" s="37">
        <v>4</v>
      </c>
      <c r="C90" s="37">
        <v>4</v>
      </c>
      <c r="D90" s="37">
        <v>5</v>
      </c>
      <c r="E90" s="37">
        <v>6</v>
      </c>
      <c r="F90" s="37">
        <v>8</v>
      </c>
      <c r="G90" s="37">
        <v>9</v>
      </c>
      <c r="H90" s="37">
        <v>10</v>
      </c>
      <c r="I90" s="15"/>
    </row>
    <row r="91" spans="1:9" x14ac:dyDescent="0.6">
      <c r="A91" s="158" t="s">
        <v>762</v>
      </c>
      <c r="B91" s="37">
        <v>5</v>
      </c>
      <c r="C91" s="37">
        <v>5</v>
      </c>
      <c r="D91" s="37">
        <v>6</v>
      </c>
      <c r="E91" s="37">
        <v>7</v>
      </c>
      <c r="F91" s="37">
        <v>9</v>
      </c>
      <c r="G91" s="37">
        <v>10</v>
      </c>
      <c r="H91" s="37">
        <v>11</v>
      </c>
      <c r="I91" s="15"/>
    </row>
    <row r="92" spans="1:9" x14ac:dyDescent="0.6">
      <c r="A92" s="4" t="s">
        <v>763</v>
      </c>
      <c r="B92" s="37">
        <v>5</v>
      </c>
      <c r="C92" s="37">
        <v>5</v>
      </c>
      <c r="D92" s="37">
        <v>6</v>
      </c>
      <c r="E92" s="37">
        <v>7</v>
      </c>
      <c r="F92" s="37">
        <v>9</v>
      </c>
      <c r="G92" s="37">
        <v>10</v>
      </c>
      <c r="H92" s="37">
        <v>11</v>
      </c>
      <c r="I92" s="15"/>
    </row>
    <row r="93" spans="1:9" ht="13.75" thickBot="1" x14ac:dyDescent="0.75">
      <c r="A93" s="8" t="s">
        <v>801</v>
      </c>
      <c r="B93" s="24">
        <v>1</v>
      </c>
      <c r="C93" s="9"/>
      <c r="D93" s="9"/>
      <c r="E93" s="9"/>
      <c r="F93" s="9"/>
      <c r="G93" s="9"/>
      <c r="H93" s="9"/>
      <c r="I93" s="33"/>
    </row>
    <row r="94" spans="1:9" ht="13.75" thickTop="1" x14ac:dyDescent="0.6"/>
    <row r="95" spans="1:9" ht="13.75" thickBot="1" x14ac:dyDescent="0.75"/>
    <row r="96" spans="1:9" ht="21" thickTop="1" x14ac:dyDescent="0.6">
      <c r="A96" s="909" t="s">
        <v>760</v>
      </c>
      <c r="B96" s="910"/>
      <c r="C96" s="910"/>
      <c r="D96" s="910"/>
      <c r="E96" s="910"/>
      <c r="F96" s="910"/>
      <c r="G96" s="910"/>
      <c r="H96" s="910"/>
      <c r="I96" s="911"/>
    </row>
    <row r="97" spans="1:9" x14ac:dyDescent="0.6">
      <c r="A97" s="39"/>
      <c r="B97" s="37"/>
      <c r="C97" s="37"/>
      <c r="D97" s="37"/>
      <c r="E97" s="37"/>
      <c r="F97" s="37"/>
      <c r="G97" s="37"/>
      <c r="H97" s="37"/>
      <c r="I97" s="38"/>
    </row>
    <row r="98" spans="1:9" x14ac:dyDescent="0.6">
      <c r="A98" s="4"/>
      <c r="B98" s="321" t="s">
        <v>667</v>
      </c>
      <c r="C98" s="322" t="s">
        <v>668</v>
      </c>
      <c r="D98" s="322" t="s">
        <v>669</v>
      </c>
      <c r="E98" s="322" t="s">
        <v>670</v>
      </c>
      <c r="F98" s="323"/>
      <c r="G98" s="323"/>
      <c r="H98" s="322"/>
      <c r="I98" s="160"/>
    </row>
    <row r="99" spans="1:9" x14ac:dyDescent="0.6">
      <c r="A99" s="158"/>
      <c r="B99" s="37">
        <v>2</v>
      </c>
      <c r="C99" s="37">
        <v>3</v>
      </c>
      <c r="D99" s="37">
        <v>4</v>
      </c>
      <c r="E99" s="37">
        <v>5</v>
      </c>
      <c r="F99" s="37"/>
      <c r="G99" s="37"/>
      <c r="H99" s="37"/>
      <c r="I99" s="15"/>
    </row>
    <row r="100" spans="1:9" x14ac:dyDescent="0.6">
      <c r="A100" s="4"/>
      <c r="B100" s="37"/>
      <c r="C100" s="37"/>
      <c r="D100" s="37"/>
      <c r="E100" s="37"/>
      <c r="F100" s="37"/>
      <c r="G100" s="37"/>
      <c r="H100" s="37"/>
      <c r="I100" s="15"/>
    </row>
    <row r="101" spans="1:9" ht="13.75" thickBot="1" x14ac:dyDescent="0.75">
      <c r="A101" s="8"/>
      <c r="B101" s="9"/>
      <c r="C101" s="9"/>
      <c r="D101" s="9"/>
      <c r="E101" s="9"/>
      <c r="F101" s="9"/>
      <c r="G101" s="9"/>
      <c r="H101" s="9"/>
      <c r="I101" s="33"/>
    </row>
    <row r="102" spans="1:9" ht="13.75" thickTop="1" x14ac:dyDescent="0.6"/>
    <row r="103" spans="1:9" ht="13.75" thickBot="1" x14ac:dyDescent="0.75"/>
    <row r="104" spans="1:9" ht="21" thickTop="1" x14ac:dyDescent="0.6">
      <c r="A104" s="909" t="s">
        <v>761</v>
      </c>
      <c r="B104" s="910"/>
      <c r="C104" s="910"/>
      <c r="D104" s="910"/>
      <c r="E104" s="910"/>
      <c r="F104" s="910"/>
      <c r="G104" s="910"/>
      <c r="H104" s="910"/>
      <c r="I104" s="911"/>
    </row>
    <row r="105" spans="1:9" x14ac:dyDescent="0.6">
      <c r="A105" s="39"/>
      <c r="B105" s="37"/>
      <c r="C105" s="37"/>
      <c r="D105" s="37"/>
      <c r="E105" s="37"/>
      <c r="F105" s="37"/>
      <c r="G105" s="37"/>
      <c r="H105" s="37"/>
      <c r="I105" s="38"/>
    </row>
    <row r="106" spans="1:9" x14ac:dyDescent="0.6">
      <c r="A106" s="4"/>
      <c r="B106" s="7"/>
      <c r="C106" s="321" t="s">
        <v>664</v>
      </c>
      <c r="D106" s="322" t="s">
        <v>665</v>
      </c>
      <c r="E106" s="322" t="s">
        <v>666</v>
      </c>
      <c r="F106" s="323"/>
      <c r="G106" s="323"/>
      <c r="H106" s="322"/>
      <c r="I106" s="160"/>
    </row>
    <row r="107" spans="1:9" x14ac:dyDescent="0.6">
      <c r="A107" s="158"/>
      <c r="B107" s="324"/>
      <c r="C107" s="37">
        <v>2</v>
      </c>
      <c r="D107" s="37">
        <v>3</v>
      </c>
      <c r="E107" s="37">
        <v>4</v>
      </c>
      <c r="F107" s="37"/>
      <c r="G107" s="37"/>
      <c r="H107" s="37"/>
      <c r="I107" s="15"/>
    </row>
    <row r="108" spans="1:9" x14ac:dyDescent="0.6">
      <c r="A108" s="4"/>
      <c r="B108" s="37"/>
      <c r="C108" s="37"/>
      <c r="D108" s="37"/>
      <c r="E108" s="37"/>
      <c r="F108" s="37"/>
      <c r="G108" s="37"/>
      <c r="H108" s="37"/>
      <c r="I108" s="15"/>
    </row>
    <row r="109" spans="1:9" ht="13.75" thickBot="1" x14ac:dyDescent="0.75">
      <c r="A109" s="8"/>
      <c r="B109" s="9"/>
      <c r="C109" s="9"/>
      <c r="D109" s="9"/>
      <c r="E109" s="9"/>
      <c r="F109" s="9"/>
      <c r="G109" s="9"/>
      <c r="H109" s="9"/>
      <c r="I109" s="33"/>
    </row>
    <row r="110" spans="1:9" ht="13.75" thickTop="1" x14ac:dyDescent="0.6"/>
  </sheetData>
  <sheetProtection algorithmName="SHA-512" hashValue="7g2G/LDwE4fjAkcX/EMT6H3mWb4tssWYVwZ74ynmBDovKbD58UX337XHwizAmwDZBEi8hwncfoZXcv7Gto2EDg==" saltValue="tJ6S87LVJd680bvrIaUi8w==" spinCount="100000" sheet="1" objects="1" scenarios="1"/>
  <mergeCells count="99">
    <mergeCell ref="A82:I82"/>
    <mergeCell ref="A96:I96"/>
    <mergeCell ref="A104:I104"/>
    <mergeCell ref="L10:N10"/>
    <mergeCell ref="L14:N14"/>
    <mergeCell ref="L45:N45"/>
    <mergeCell ref="L18:N18"/>
    <mergeCell ref="A61:I61"/>
    <mergeCell ref="A77:I77"/>
    <mergeCell ref="A17:I17"/>
    <mergeCell ref="L11:N11"/>
    <mergeCell ref="L20:N20"/>
    <mergeCell ref="K23:P24"/>
    <mergeCell ref="O19:P19"/>
    <mergeCell ref="L19:N19"/>
    <mergeCell ref="O21:P21"/>
    <mergeCell ref="T17:U17"/>
    <mergeCell ref="O15:P15"/>
    <mergeCell ref="L16:N16"/>
    <mergeCell ref="L17:N17"/>
    <mergeCell ref="R12:T12"/>
    <mergeCell ref="R15:S17"/>
    <mergeCell ref="T15:U15"/>
    <mergeCell ref="T16:U16"/>
    <mergeCell ref="O14:P14"/>
    <mergeCell ref="L12:N12"/>
    <mergeCell ref="L13:N13"/>
    <mergeCell ref="R13:V13"/>
    <mergeCell ref="R14:V14"/>
    <mergeCell ref="O6:P6"/>
    <mergeCell ref="L6:N6"/>
    <mergeCell ref="O7:P7"/>
    <mergeCell ref="O8:P8"/>
    <mergeCell ref="L7:N7"/>
    <mergeCell ref="L8:N8"/>
    <mergeCell ref="A1:I2"/>
    <mergeCell ref="L3:N3"/>
    <mergeCell ref="L4:N4"/>
    <mergeCell ref="L5:N5"/>
    <mergeCell ref="L1:P2"/>
    <mergeCell ref="O4:P4"/>
    <mergeCell ref="O5:P5"/>
    <mergeCell ref="L21:N21"/>
    <mergeCell ref="O18:P18"/>
    <mergeCell ref="L15:N15"/>
    <mergeCell ref="O17:P17"/>
    <mergeCell ref="O16:P16"/>
    <mergeCell ref="R1:V2"/>
    <mergeCell ref="R3:T3"/>
    <mergeCell ref="R4:T4"/>
    <mergeCell ref="U4:V4"/>
    <mergeCell ref="U6:V6"/>
    <mergeCell ref="R6:T6"/>
    <mergeCell ref="U5:V5"/>
    <mergeCell ref="R5:T5"/>
    <mergeCell ref="R7:T7"/>
    <mergeCell ref="U7:V7"/>
    <mergeCell ref="R10:T10"/>
    <mergeCell ref="R11:T11"/>
    <mergeCell ref="R9:V9"/>
    <mergeCell ref="R8:T8"/>
    <mergeCell ref="U8:V8"/>
    <mergeCell ref="T18:U18"/>
    <mergeCell ref="T19:U19"/>
    <mergeCell ref="Z25:AA25"/>
    <mergeCell ref="T25:U25"/>
    <mergeCell ref="Z23:AA23"/>
    <mergeCell ref="R21:T22"/>
    <mergeCell ref="W21:W22"/>
    <mergeCell ref="U21:U22"/>
    <mergeCell ref="Z24:AA24"/>
    <mergeCell ref="V21:V22"/>
    <mergeCell ref="T23:U23"/>
    <mergeCell ref="T20:U20"/>
    <mergeCell ref="T24:U24"/>
    <mergeCell ref="R23:S25"/>
    <mergeCell ref="R18:S20"/>
    <mergeCell ref="A33:I33"/>
    <mergeCell ref="A39:I40"/>
    <mergeCell ref="L49:N49"/>
    <mergeCell ref="L47:N47"/>
    <mergeCell ref="L42:P43"/>
    <mergeCell ref="L46:N46"/>
    <mergeCell ref="L48:N48"/>
    <mergeCell ref="L44:N44"/>
    <mergeCell ref="C58:E58"/>
    <mergeCell ref="A53:E54"/>
    <mergeCell ref="C55:E55"/>
    <mergeCell ref="C56:E56"/>
    <mergeCell ref="C57:E57"/>
    <mergeCell ref="V27:W27"/>
    <mergeCell ref="Z27:AA27"/>
    <mergeCell ref="R26:S28"/>
    <mergeCell ref="Z28:AA28"/>
    <mergeCell ref="V28:W28"/>
    <mergeCell ref="T26:U26"/>
    <mergeCell ref="Z26:AA26"/>
    <mergeCell ref="T27:U27"/>
    <mergeCell ref="T28:U28"/>
  </mergeCells>
  <phoneticPr fontId="2" type="noConversion"/>
  <pageMargins left="0.75" right="0.75" top="1" bottom="1" header="0.5" footer="0.5"/>
  <pageSetup scale="77" orientation="landscape" r:id="rId1"/>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AM46"/>
  <sheetViews>
    <sheetView topLeftCell="D1" workbookViewId="0">
      <selection activeCell="H27" sqref="H27:K27"/>
    </sheetView>
  </sheetViews>
  <sheetFormatPr defaultColWidth="8.76953125" defaultRowHeight="13" x14ac:dyDescent="0.6"/>
  <cols>
    <col min="3" max="3" width="9.08984375" style="1"/>
    <col min="7" max="7" width="11.08984375" customWidth="1"/>
    <col min="32" max="35" width="9.08984375" style="161"/>
    <col min="37" max="37" width="12.6796875" style="161" customWidth="1"/>
    <col min="38" max="38" width="13.6796875" style="161" customWidth="1"/>
    <col min="39" max="39" width="9.08984375" style="161"/>
  </cols>
  <sheetData>
    <row r="1" spans="1:39" ht="20.149999999999999" customHeight="1" thickTop="1" x14ac:dyDescent="0.6">
      <c r="A1" s="1014" t="s">
        <v>76</v>
      </c>
      <c r="B1" s="1015"/>
      <c r="C1" s="1015"/>
      <c r="D1" s="1015"/>
      <c r="E1" s="1015"/>
      <c r="F1" s="1015"/>
      <c r="G1" s="1015"/>
      <c r="H1" s="1015"/>
      <c r="I1" s="1016"/>
      <c r="K1" s="1012" t="s">
        <v>75</v>
      </c>
      <c r="L1" s="950"/>
      <c r="M1" s="950"/>
      <c r="N1" s="950"/>
      <c r="O1" s="950"/>
      <c r="P1" s="950"/>
      <c r="Q1" s="925"/>
      <c r="S1" s="1012" t="s">
        <v>78</v>
      </c>
      <c r="T1" s="950"/>
      <c r="U1" s="950"/>
      <c r="V1" s="950"/>
      <c r="W1" s="950"/>
      <c r="X1" s="950"/>
      <c r="Y1" s="925"/>
      <c r="AA1" s="1031" t="s">
        <v>647</v>
      </c>
      <c r="AB1" s="1032"/>
      <c r="AC1" s="1032"/>
      <c r="AD1" s="1033"/>
      <c r="AF1" s="989" t="s">
        <v>424</v>
      </c>
      <c r="AG1" s="1021"/>
      <c r="AH1" s="1021"/>
      <c r="AI1" s="1022"/>
      <c r="AK1" s="1023" t="s">
        <v>428</v>
      </c>
      <c r="AL1" s="976"/>
      <c r="AM1" s="976"/>
    </row>
    <row r="2" spans="1:39" ht="20.149999999999999" customHeight="1" x14ac:dyDescent="0.6">
      <c r="A2" s="978" t="s">
        <v>223</v>
      </c>
      <c r="B2" s="976"/>
      <c r="C2" s="53" t="s">
        <v>229</v>
      </c>
      <c r="D2" s="976" t="s">
        <v>230</v>
      </c>
      <c r="E2" s="976"/>
      <c r="F2" s="976" t="s">
        <v>231</v>
      </c>
      <c r="G2" s="976"/>
      <c r="H2" s="976"/>
      <c r="I2" s="977"/>
      <c r="K2" s="978" t="s">
        <v>223</v>
      </c>
      <c r="L2" s="976"/>
      <c r="M2" s="976"/>
      <c r="N2" s="976" t="s">
        <v>230</v>
      </c>
      <c r="O2" s="976"/>
      <c r="P2" s="976" t="s">
        <v>240</v>
      </c>
      <c r="Q2" s="977"/>
      <c r="S2" s="978" t="s">
        <v>223</v>
      </c>
      <c r="T2" s="976"/>
      <c r="U2" s="976"/>
      <c r="V2" s="976" t="s">
        <v>230</v>
      </c>
      <c r="W2" s="976"/>
      <c r="X2" s="976" t="s">
        <v>240</v>
      </c>
      <c r="Y2" s="977"/>
      <c r="AA2" s="1034"/>
      <c r="AB2" s="1035"/>
      <c r="AC2" s="1035"/>
      <c r="AD2" s="1036"/>
      <c r="AF2" s="203" t="s">
        <v>306</v>
      </c>
      <c r="AG2" s="203" t="s">
        <v>307</v>
      </c>
      <c r="AH2" s="203" t="s">
        <v>308</v>
      </c>
      <c r="AI2" s="203" t="s">
        <v>391</v>
      </c>
      <c r="AK2" s="203" t="s">
        <v>429</v>
      </c>
      <c r="AL2" s="203" t="s">
        <v>430</v>
      </c>
      <c r="AM2" s="203" t="s">
        <v>391</v>
      </c>
    </row>
    <row r="3" spans="1:39" ht="20.149999999999999" customHeight="1" x14ac:dyDescent="0.6">
      <c r="A3" s="978" t="s">
        <v>224</v>
      </c>
      <c r="B3" s="976"/>
      <c r="C3" s="976" t="s">
        <v>228</v>
      </c>
      <c r="D3" s="976">
        <f>COUNTIF(Conformation!$L$12:$L$56,"WD")</f>
        <v>0</v>
      </c>
      <c r="E3" s="976">
        <f>COUNTIF(Conformation!$K$12:$K$56,"WD")</f>
        <v>0</v>
      </c>
      <c r="F3" s="976" t="s">
        <v>234</v>
      </c>
      <c r="G3" s="976"/>
      <c r="H3" s="976">
        <f>IF(OR('Tabulation Sheet'!$D$3&gt;=2,('Tabulation Sheet'!$D$4&gt;=2)),1,0)</f>
        <v>0</v>
      </c>
      <c r="I3" s="977">
        <f>IF(OR('Tabulation Sheet'!$D$3&gt;=2,('Tabulation Sheet'!$D$4&gt;=2)),1,0)</f>
        <v>0</v>
      </c>
      <c r="K3" s="978" t="s">
        <v>795</v>
      </c>
      <c r="L3" s="976"/>
      <c r="M3" s="976"/>
      <c r="N3" s="1008" cm="1">
        <f t="array" ref="N3">IF(OR(Summary!$N$5:$N$13="CDX",(Summary!$N$5:$N$13="PCDX")),1,0)</f>
        <v>0</v>
      </c>
      <c r="O3" s="1013"/>
      <c r="P3" s="976">
        <f>IF(OR('Tabulation Sheet'!$N$3&gt;=1,('Tabulation Sheet'!$N$4&gt;=1)),1,0)</f>
        <v>0</v>
      </c>
      <c r="Q3" s="977">
        <f>IF(OR('Tabulation Sheet'!$D$3&gt;=2,('Tabulation Sheet'!$D$4&gt;=2)),1,0)</f>
        <v>0</v>
      </c>
      <c r="S3" s="978" t="s">
        <v>241</v>
      </c>
      <c r="T3" s="976"/>
      <c r="U3" s="976"/>
      <c r="V3" s="976">
        <f>IF(SUM(V12:V16)&gt;0,1,0)</f>
        <v>0</v>
      </c>
      <c r="W3" s="976">
        <f>IF(SUM(U3:V7)&gt;0,1,0)</f>
        <v>0</v>
      </c>
      <c r="X3" s="979">
        <f>IF(SUM(V3:V4)&gt;0,1,0)</f>
        <v>0</v>
      </c>
      <c r="Y3" s="1024"/>
      <c r="AA3" s="1037" t="s">
        <v>648</v>
      </c>
      <c r="AB3" s="1038"/>
      <c r="AC3" s="976">
        <f>SUM(AF3:AH37)</f>
        <v>0</v>
      </c>
      <c r="AD3" s="977"/>
      <c r="AF3" s="53">
        <f>COUNTIF(Conformation!$F12,"Vet 8-10")</f>
        <v>0</v>
      </c>
      <c r="AG3" s="53">
        <f>COUNTIF(Conformation!$F12,"Vet 10-12")</f>
        <v>0</v>
      </c>
      <c r="AH3" s="53">
        <f>COUNTIF(Conformation!$F12,"Vet 12+")</f>
        <v>0</v>
      </c>
      <c r="AI3" s="53">
        <v>0</v>
      </c>
      <c r="AK3" s="53">
        <f>COUNTIF(Conformation!$L12,"WD")</f>
        <v>0</v>
      </c>
      <c r="AL3" s="53">
        <f>COUNTIF(Conformation!$L12,"WB")</f>
        <v>0</v>
      </c>
      <c r="AM3" s="53">
        <f>SUM(AK3:AL3)</f>
        <v>0</v>
      </c>
    </row>
    <row r="4" spans="1:39" ht="20.149999999999999" customHeight="1" thickBot="1" x14ac:dyDescent="0.75">
      <c r="A4" s="978" t="s">
        <v>225</v>
      </c>
      <c r="B4" s="976"/>
      <c r="C4" s="976"/>
      <c r="D4" s="976">
        <f>COUNTIF(Conformation!$L$12:$L$56,"WB")</f>
        <v>0</v>
      </c>
      <c r="E4" s="976">
        <f>COUNTIF(Conformation!$K$12:$K$56,"WB")</f>
        <v>0</v>
      </c>
      <c r="F4" s="1000" t="s">
        <v>235</v>
      </c>
      <c r="G4" s="1000"/>
      <c r="H4" s="1000">
        <f>IF(OR('Tabulation Sheet'!$D$5&gt;=2,('Tabulation Sheet'!$D$6&gt;=2)),1,0)</f>
        <v>0</v>
      </c>
      <c r="I4" s="1001">
        <f>IF(OR('Tabulation Sheet'!$D$5&gt;=2,('Tabulation Sheet'!$D$6&gt;=2)),1,0)</f>
        <v>0</v>
      </c>
      <c r="K4" s="978" t="s">
        <v>796</v>
      </c>
      <c r="L4" s="976"/>
      <c r="M4" s="976"/>
      <c r="N4" s="1008" cm="1">
        <f t="array" ref="N4">IF(OR(Summary!$N$19:$N$26="CDX",(Summary!$N$19:$N$26="PCDX")),1,0)</f>
        <v>0</v>
      </c>
      <c r="O4" s="1013"/>
      <c r="P4" s="976">
        <f>IF(OR('Tabulation Sheet'!$D$3&gt;=2,('Tabulation Sheet'!$D$4&gt;=2)),1,0)</f>
        <v>0</v>
      </c>
      <c r="Q4" s="977">
        <f>IF(OR('Tabulation Sheet'!$D$3&gt;=2,('Tabulation Sheet'!$D$4&gt;=2)),1,0)</f>
        <v>0</v>
      </c>
      <c r="S4" s="978" t="s">
        <v>244</v>
      </c>
      <c r="T4" s="976"/>
      <c r="U4" s="976"/>
      <c r="V4" s="976">
        <f>SUM(Summary!C13:C14)</f>
        <v>0</v>
      </c>
      <c r="W4" s="976"/>
      <c r="X4" s="979"/>
      <c r="Y4" s="1024"/>
      <c r="AA4" s="1039"/>
      <c r="AB4" s="1038"/>
      <c r="AC4" s="976"/>
      <c r="AD4" s="977"/>
      <c r="AF4" s="53">
        <f>COUNTIF(Conformation!$F13,"Vet 8-10")</f>
        <v>0</v>
      </c>
      <c r="AG4" s="53">
        <f>COUNTIF(Conformation!$F13,"Vet 10-12")</f>
        <v>0</v>
      </c>
      <c r="AH4" s="53">
        <f>COUNTIF(Conformation!$F13,"Vet 12+")</f>
        <v>0</v>
      </c>
      <c r="AI4" s="53">
        <v>0</v>
      </c>
      <c r="AK4" s="53">
        <f>COUNTIF(Conformation!$L13,"WD")</f>
        <v>0</v>
      </c>
      <c r="AL4" s="53">
        <f>COUNTIF(Conformation!$L13,"WB")</f>
        <v>0</v>
      </c>
      <c r="AM4" s="53">
        <f t="shared" ref="AM4:AM37" si="0">SUM(AK4:AL4)</f>
        <v>0</v>
      </c>
    </row>
    <row r="5" spans="1:39" ht="20.149999999999999" customHeight="1" thickTop="1" x14ac:dyDescent="0.6">
      <c r="A5" s="978" t="s">
        <v>226</v>
      </c>
      <c r="B5" s="976"/>
      <c r="C5" s="976" t="s">
        <v>228</v>
      </c>
      <c r="D5" s="976">
        <f>COUNTIF(Conformation!$O$12:$O$56,"BOB")</f>
        <v>0</v>
      </c>
      <c r="E5" s="979">
        <f>COUNTIF(Conformation!$N$12:$N$56,"BOB")</f>
        <v>0</v>
      </c>
      <c r="F5" s="55"/>
      <c r="G5" s="56"/>
      <c r="H5" s="56"/>
      <c r="I5" s="56"/>
      <c r="K5" s="978" t="s">
        <v>236</v>
      </c>
      <c r="L5" s="976"/>
      <c r="M5" s="976"/>
      <c r="N5" s="976">
        <f>COUNTIF(Summary!W5:W10,"WCX")</f>
        <v>0</v>
      </c>
      <c r="O5" s="976">
        <f>COUNTIF(Conformation!$K$12:$K$56,"WD")</f>
        <v>0</v>
      </c>
      <c r="P5" s="976">
        <f>IF(OR('Tabulation Sheet'!$N$5&gt;=1,('Tabulation Sheet'!$N$6&gt;=1)),1,0)</f>
        <v>0</v>
      </c>
      <c r="Q5" s="977">
        <f>IF(OR('Tabulation Sheet'!$D$3&gt;=2,('Tabulation Sheet'!$D$4&gt;=2)),1,0)</f>
        <v>0</v>
      </c>
      <c r="S5" s="978" t="s">
        <v>242</v>
      </c>
      <c r="T5" s="976"/>
      <c r="U5" s="976"/>
      <c r="V5" s="976">
        <f>IF(SUM(V19:V22)&gt;0,1,0)</f>
        <v>0</v>
      </c>
      <c r="W5" s="976">
        <f>IF(SUM(U5:U8)&gt;0,1,0)</f>
        <v>0</v>
      </c>
      <c r="X5" s="979">
        <f>IF(SUM(V5:V6)&gt;0,1,0)</f>
        <v>0</v>
      </c>
      <c r="Y5" s="1024"/>
      <c r="AA5" s="1018" t="s">
        <v>649</v>
      </c>
      <c r="AB5" s="976"/>
      <c r="AC5" s="1000">
        <f>IF(AC3&gt;0,1,0)</f>
        <v>0</v>
      </c>
      <c r="AD5" s="1001"/>
      <c r="AF5" s="53">
        <f>COUNTIF(Conformation!$F14,"Vet 8-10")</f>
        <v>0</v>
      </c>
      <c r="AG5" s="53">
        <f>COUNTIF(Conformation!$F14,"Vet 10-12")</f>
        <v>0</v>
      </c>
      <c r="AH5" s="53">
        <f>COUNTIF(Conformation!$F14,"Vet 12+")</f>
        <v>0</v>
      </c>
      <c r="AI5" s="53">
        <v>0</v>
      </c>
      <c r="AK5" s="53">
        <f>COUNTIF(Conformation!$L14,"WD")</f>
        <v>0</v>
      </c>
      <c r="AL5" s="53">
        <f>COUNTIF(Conformation!$L14,"WB")</f>
        <v>0</v>
      </c>
      <c r="AM5" s="53">
        <f t="shared" si="0"/>
        <v>0</v>
      </c>
    </row>
    <row r="6" spans="1:39" ht="20.149999999999999" customHeight="1" x14ac:dyDescent="0.6">
      <c r="A6" s="978" t="s">
        <v>227</v>
      </c>
      <c r="B6" s="976"/>
      <c r="C6" s="976"/>
      <c r="D6" s="976">
        <f>COUNTIF(Conformation!$P$12:$P$56,"BOS")</f>
        <v>0</v>
      </c>
      <c r="E6" s="979">
        <f>COUNTIF(Conformation!$O$12:$O$56,"BOS")</f>
        <v>0</v>
      </c>
      <c r="F6" s="57"/>
      <c r="G6" s="2"/>
      <c r="H6" s="2"/>
      <c r="I6" s="2"/>
      <c r="K6" s="978" t="s">
        <v>237</v>
      </c>
      <c r="L6" s="976"/>
      <c r="M6" s="976"/>
      <c r="N6" s="976">
        <f>COUNTIF(Summary!W19:W23,"WCX")</f>
        <v>0</v>
      </c>
      <c r="O6" s="976">
        <f>COUNTIF(Conformation!$K$12:$K$56,"WD")</f>
        <v>0</v>
      </c>
      <c r="P6" s="976">
        <f>IF(OR('Tabulation Sheet'!$D$3&gt;=2,('Tabulation Sheet'!$D$4&gt;=2)),1,0)</f>
        <v>0</v>
      </c>
      <c r="Q6" s="977">
        <f>IF(OR('Tabulation Sheet'!$D$3&gt;=2,('Tabulation Sheet'!$D$4&gt;=2)),1,0)</f>
        <v>0</v>
      </c>
      <c r="S6" s="978" t="s">
        <v>243</v>
      </c>
      <c r="T6" s="976"/>
      <c r="U6" s="976"/>
      <c r="V6" s="976">
        <f>SUM(Summary!C15)</f>
        <v>0</v>
      </c>
      <c r="W6" s="976"/>
      <c r="X6" s="979"/>
      <c r="Y6" s="1024"/>
      <c r="AA6" s="978"/>
      <c r="AB6" s="976"/>
      <c r="AC6" s="1040"/>
      <c r="AD6" s="1041"/>
      <c r="AF6" s="53">
        <f>COUNTIF(Conformation!$F15,"Vet 8-10")</f>
        <v>0</v>
      </c>
      <c r="AG6" s="53">
        <f>COUNTIF(Conformation!$F15,"Vet 10-12")</f>
        <v>0</v>
      </c>
      <c r="AH6" s="53">
        <f>COUNTIF(Conformation!$F15,"Vet 12+")</f>
        <v>0</v>
      </c>
      <c r="AI6" s="53">
        <v>0</v>
      </c>
      <c r="AK6" s="53">
        <f>COUNTIF(Conformation!$L15,"WD")</f>
        <v>0</v>
      </c>
      <c r="AL6" s="53">
        <f>COUNTIF(Conformation!$L15,"WB")</f>
        <v>0</v>
      </c>
      <c r="AM6" s="53">
        <f t="shared" si="0"/>
        <v>0</v>
      </c>
    </row>
    <row r="7" spans="1:39" ht="20.149999999999999" customHeight="1" x14ac:dyDescent="0.6">
      <c r="A7" s="978" t="s">
        <v>232</v>
      </c>
      <c r="B7" s="976"/>
      <c r="C7" s="53" t="s">
        <v>228</v>
      </c>
      <c r="D7" s="976">
        <f>COUNTIF(Obedience!$H$12:$H$44,"Yes")</f>
        <v>0</v>
      </c>
      <c r="E7" s="979">
        <f>COUNTIF(Conformation!$K$12:$K$56,"WD")</f>
        <v>0</v>
      </c>
      <c r="F7" s="57"/>
      <c r="G7" s="2"/>
      <c r="H7" s="2"/>
      <c r="I7" s="2"/>
      <c r="K7" s="978" t="s">
        <v>238</v>
      </c>
      <c r="L7" s="976"/>
      <c r="M7" s="976"/>
      <c r="N7" s="976">
        <f>COUNTIF(Summary!Q5:Q10,"TDX")</f>
        <v>0</v>
      </c>
      <c r="O7" s="976">
        <f>COUNTIF(Conformation!$K$12:$K$56,"WD")</f>
        <v>0</v>
      </c>
      <c r="P7" s="976">
        <f>IF(OR('Tabulation Sheet'!$N$7&gt;=1,('Tabulation Sheet'!$N$8&gt;=1)),1,0)</f>
        <v>0</v>
      </c>
      <c r="Q7" s="977">
        <f>IF(OR('Tabulation Sheet'!$D$3&gt;=2,('Tabulation Sheet'!$D$4&gt;=2)),1,0)</f>
        <v>0</v>
      </c>
      <c r="S7" s="978" t="s">
        <v>245</v>
      </c>
      <c r="T7" s="976"/>
      <c r="U7" s="976"/>
      <c r="V7" s="976">
        <f>IF(SUM(V17:V18)&gt;0,1,0)</f>
        <v>0</v>
      </c>
      <c r="W7" s="976">
        <f>IF(SUM(U7:V8)&gt;0,1,0)</f>
        <v>0</v>
      </c>
      <c r="X7" s="979">
        <f>IF(SUM(V7:V9)&gt;0,1,0)</f>
        <v>0</v>
      </c>
      <c r="Y7" s="1024"/>
      <c r="AA7" s="1042" t="s">
        <v>647</v>
      </c>
      <c r="AB7" s="1043"/>
      <c r="AC7" s="1017">
        <f>IF(AC5&gt;0,AC9,0)</f>
        <v>0</v>
      </c>
      <c r="AD7" s="1046"/>
      <c r="AF7" s="53">
        <f>COUNTIF(Conformation!$F16,"Vet 8-10")</f>
        <v>0</v>
      </c>
      <c r="AG7" s="53">
        <f>COUNTIF(Conformation!$F16,"Vet 10-12")</f>
        <v>0</v>
      </c>
      <c r="AH7" s="53">
        <f>COUNTIF(Conformation!$F16,"Vet 12+")</f>
        <v>0</v>
      </c>
      <c r="AI7" s="53">
        <v>0</v>
      </c>
      <c r="AK7" s="53">
        <f>COUNTIF(Conformation!$L16,"WD")</f>
        <v>0</v>
      </c>
      <c r="AL7" s="53">
        <f>COUNTIF(Conformation!$L16,"WB")</f>
        <v>0</v>
      </c>
      <c r="AM7" s="53">
        <f t="shared" si="0"/>
        <v>0</v>
      </c>
    </row>
    <row r="8" spans="1:39" ht="20.149999999999999" customHeight="1" thickBot="1" x14ac:dyDescent="0.75">
      <c r="A8" s="978" t="s">
        <v>148</v>
      </c>
      <c r="B8" s="976"/>
      <c r="C8" s="53" t="s">
        <v>233</v>
      </c>
      <c r="D8" s="976">
        <f>COUNTIF(Summary!$Q$19:$Q$23,"TDX")</f>
        <v>0</v>
      </c>
      <c r="E8" s="979">
        <f>COUNTIF(Conformation!$K$12:$K$56,"WD")</f>
        <v>0</v>
      </c>
      <c r="F8" s="57"/>
      <c r="G8" s="2"/>
      <c r="H8" s="2"/>
      <c r="I8" s="2"/>
      <c r="K8" s="966" t="s">
        <v>239</v>
      </c>
      <c r="L8" s="967"/>
      <c r="M8" s="967"/>
      <c r="N8" s="967">
        <f>COUNTIF(Summary!Q19:Q23,"TDX")</f>
        <v>0</v>
      </c>
      <c r="O8" s="967">
        <f>COUNTIF(Conformation!$K$12:$K$56,"WD")</f>
        <v>0</v>
      </c>
      <c r="P8" s="967">
        <f>IF(OR('Tabulation Sheet'!$D$3&gt;=2,('Tabulation Sheet'!$D$4&gt;=2)),1,0)</f>
        <v>0</v>
      </c>
      <c r="Q8" s="1019">
        <f>IF(OR('Tabulation Sheet'!$D$3&gt;=2,('Tabulation Sheet'!$D$4&gt;=2)),1,0)</f>
        <v>0</v>
      </c>
      <c r="S8" s="978" t="s">
        <v>249</v>
      </c>
      <c r="T8" s="976"/>
      <c r="U8" s="976"/>
      <c r="V8" s="976">
        <f>SUM(Summary!C21)</f>
        <v>0</v>
      </c>
      <c r="W8" s="976"/>
      <c r="X8" s="979"/>
      <c r="Y8" s="1024"/>
      <c r="AA8" s="1044"/>
      <c r="AB8" s="1045"/>
      <c r="AC8" s="1047"/>
      <c r="AD8" s="1048"/>
      <c r="AF8" s="53">
        <f>COUNTIF(Conformation!$F17,"Vet 8-10")</f>
        <v>0</v>
      </c>
      <c r="AG8" s="53">
        <f>COUNTIF(Conformation!$F17,"Vet 10-12")</f>
        <v>0</v>
      </c>
      <c r="AH8" s="53">
        <f>COUNTIF(Conformation!$F17,"Vet 12+")</f>
        <v>0</v>
      </c>
      <c r="AI8" s="53">
        <v>0</v>
      </c>
      <c r="AK8" s="53">
        <f>COUNTIF(Conformation!$L17,"WD")</f>
        <v>0</v>
      </c>
      <c r="AL8" s="53">
        <f>COUNTIF(Conformation!$L17,"WB")</f>
        <v>0</v>
      </c>
      <c r="AM8" s="53">
        <f t="shared" si="0"/>
        <v>0</v>
      </c>
    </row>
    <row r="9" spans="1:39" ht="20.149999999999999" customHeight="1" thickTop="1" thickBot="1" x14ac:dyDescent="0.75">
      <c r="A9" s="966" t="s">
        <v>149</v>
      </c>
      <c r="B9" s="967"/>
      <c r="C9" s="54" t="s">
        <v>233</v>
      </c>
      <c r="D9" s="967">
        <f>COUNTIF(Summary!$Q$19:$Q$23,"VST")</f>
        <v>0</v>
      </c>
      <c r="E9" s="990">
        <f>COUNTIF(Conformation!$K$12:$K$56,"WD")</f>
        <v>0</v>
      </c>
      <c r="F9" s="57"/>
      <c r="G9" s="2"/>
      <c r="H9" s="2"/>
      <c r="I9" s="2"/>
      <c r="K9" s="1005" t="s">
        <v>798</v>
      </c>
      <c r="L9" s="1006"/>
      <c r="M9" s="1006"/>
      <c r="N9" s="1006"/>
      <c r="O9" s="1006"/>
      <c r="P9" s="1006"/>
      <c r="Q9" s="1007"/>
      <c r="S9" s="978" t="s">
        <v>246</v>
      </c>
      <c r="T9" s="976"/>
      <c r="U9" s="976"/>
      <c r="V9" s="976">
        <f>IF(Summary!K14="Yes",1,0)</f>
        <v>0</v>
      </c>
      <c r="W9" s="976" t="e">
        <f>IF(#REF!&gt;=1,1,0)</f>
        <v>#REF!</v>
      </c>
      <c r="X9" s="979"/>
      <c r="Y9" s="1024"/>
      <c r="AA9" s="1042" t="s">
        <v>650</v>
      </c>
      <c r="AB9" s="1043"/>
      <c r="AC9" s="1043">
        <f>SUM(Conformation!AK13:AK56)</f>
        <v>0</v>
      </c>
      <c r="AD9" s="1051"/>
      <c r="AF9" s="53">
        <f>COUNTIF(Conformation!$F18,"Vet 8-10")</f>
        <v>0</v>
      </c>
      <c r="AG9" s="53">
        <f>COUNTIF(Conformation!$F18,"Vet 10-12")</f>
        <v>0</v>
      </c>
      <c r="AH9" s="53">
        <f>COUNTIF(Conformation!$F18,"Vet 12+")</f>
        <v>0</v>
      </c>
      <c r="AI9" s="53">
        <v>0</v>
      </c>
      <c r="AK9" s="53">
        <f>COUNTIF(Conformation!$L18,"WD")</f>
        <v>0</v>
      </c>
      <c r="AL9" s="53">
        <f>COUNTIF(Conformation!$L18,"WB")</f>
        <v>0</v>
      </c>
      <c r="AM9" s="53">
        <f t="shared" si="0"/>
        <v>0</v>
      </c>
    </row>
    <row r="10" spans="1:39" ht="20.149999999999999" customHeight="1" thickTop="1" thickBot="1" x14ac:dyDescent="0.75">
      <c r="K10" s="1002" t="s">
        <v>797</v>
      </c>
      <c r="L10" s="1003"/>
      <c r="M10" s="1003"/>
      <c r="N10" s="973">
        <f>IF(SUM(N3,N5)=2,1,0)</f>
        <v>0</v>
      </c>
      <c r="O10" s="1004">
        <f>IF(SUM(M10:N14)&gt;0,1,0)</f>
        <v>0</v>
      </c>
      <c r="P10" s="1008">
        <f>IF(OR('Tabulation Sheet'!$N$10&gt;=1,('Tabulation Sheet'!$N$11&gt;=1)),1,0)</f>
        <v>0</v>
      </c>
      <c r="Q10" s="1009"/>
      <c r="S10" s="978" t="s">
        <v>247</v>
      </c>
      <c r="T10" s="976"/>
      <c r="U10" s="976"/>
      <c r="V10" s="976">
        <f>IF(OR(Summary!K23="Yes",D3&gt;=3,D4&gt;=3),1,0)</f>
        <v>0</v>
      </c>
      <c r="W10" s="976" t="e">
        <f>IF(#REF!&gt;=1,1,0)</f>
        <v>#REF!</v>
      </c>
      <c r="X10" s="979">
        <f>IF(SUM(V10:V11)&gt;=3,1,0)</f>
        <v>0</v>
      </c>
      <c r="Y10" s="1024"/>
      <c r="AA10" s="1049"/>
      <c r="AB10" s="1050"/>
      <c r="AC10" s="1050"/>
      <c r="AD10" s="1052"/>
      <c r="AF10" s="53">
        <f>COUNTIF(Conformation!$F19,"Vet 8-10")</f>
        <v>0</v>
      </c>
      <c r="AG10" s="53">
        <f>COUNTIF(Conformation!$F19,"Vet 10-12")</f>
        <v>0</v>
      </c>
      <c r="AH10" s="53">
        <f>COUNTIF(Conformation!$F19,"Vet 12+")</f>
        <v>0</v>
      </c>
      <c r="AI10" s="53">
        <v>0</v>
      </c>
      <c r="AK10" s="53">
        <f>COUNTIF(Conformation!$L19,"WD")</f>
        <v>0</v>
      </c>
      <c r="AL10" s="53">
        <f>COUNTIF(Conformation!$L19,"WB")</f>
        <v>0</v>
      </c>
      <c r="AM10" s="53">
        <f t="shared" si="0"/>
        <v>0</v>
      </c>
    </row>
    <row r="11" spans="1:39" ht="20.149999999999999" customHeight="1" thickTop="1" thickBot="1" x14ac:dyDescent="0.75">
      <c r="K11" s="970" t="s">
        <v>794</v>
      </c>
      <c r="L11" s="1017"/>
      <c r="M11" s="1017"/>
      <c r="N11" s="1017">
        <f>IF(SUM(N5,N7)=2,1,0)</f>
        <v>0</v>
      </c>
      <c r="O11" s="1020">
        <f>IF(SUM(M11:N15)&gt;0,1,0)</f>
        <v>0</v>
      </c>
      <c r="P11" s="1010"/>
      <c r="Q11" s="1011"/>
      <c r="S11" s="978" t="s">
        <v>248</v>
      </c>
      <c r="T11" s="976"/>
      <c r="U11" s="976"/>
      <c r="V11" s="976">
        <f>SUM(Summary!C18:C19)</f>
        <v>0</v>
      </c>
      <c r="W11" s="976"/>
      <c r="X11" s="990"/>
      <c r="Y11" s="1025"/>
      <c r="AF11" s="53">
        <f>COUNTIF(Conformation!$F20,"Vet 8-10")</f>
        <v>0</v>
      </c>
      <c r="AG11" s="53">
        <f>COUNTIF(Conformation!$F20,"Vet 10-12")</f>
        <v>0</v>
      </c>
      <c r="AH11" s="53">
        <f>COUNTIF(Conformation!$F20,"Vet 12+")</f>
        <v>0</v>
      </c>
      <c r="AI11" s="53">
        <v>0</v>
      </c>
      <c r="AK11" s="53">
        <f>COUNTIF(Conformation!$L20,"WD")</f>
        <v>0</v>
      </c>
      <c r="AL11" s="53">
        <f>COUNTIF(Conformation!$L20,"WB")</f>
        <v>0</v>
      </c>
      <c r="AM11" s="53">
        <f t="shared" si="0"/>
        <v>0</v>
      </c>
    </row>
    <row r="12" spans="1:39" ht="20.149999999999999" customHeight="1" thickTop="1" thickBot="1" x14ac:dyDescent="0.75">
      <c r="L12" s="999"/>
      <c r="M12" s="999"/>
      <c r="N12" s="357"/>
      <c r="O12" s="357"/>
      <c r="P12" s="56"/>
      <c r="Q12" s="56"/>
      <c r="S12" s="978" t="s">
        <v>250</v>
      </c>
      <c r="T12" s="976"/>
      <c r="U12" s="976"/>
      <c r="V12" s="976">
        <f>COUNTIF(Summary!N5:N10,"CD")</f>
        <v>0</v>
      </c>
      <c r="W12" s="979">
        <f>COUNTIF(Conformation!$K$12:$K$56,"WD")</f>
        <v>0</v>
      </c>
      <c r="X12" s="55"/>
      <c r="Y12" s="56"/>
      <c r="AF12" s="53">
        <f>COUNTIF(Conformation!$F21,"Vet 8-10")</f>
        <v>0</v>
      </c>
      <c r="AG12" s="53">
        <f>COUNTIF(Conformation!$F21,"Vet 10-12")</f>
        <v>0</v>
      </c>
      <c r="AH12" s="53">
        <f>COUNTIF(Conformation!$F21,"Vet 12+")</f>
        <v>0</v>
      </c>
      <c r="AI12" s="53">
        <v>0</v>
      </c>
      <c r="AK12" s="53">
        <f>COUNTIF(Conformation!$L21,"WD")</f>
        <v>0</v>
      </c>
      <c r="AL12" s="53">
        <f>COUNTIF(Conformation!$L21,"WB")</f>
        <v>0</v>
      </c>
      <c r="AM12" s="53">
        <f t="shared" si="0"/>
        <v>0</v>
      </c>
    </row>
    <row r="13" spans="1:39" ht="20.149999999999999" customHeight="1" thickTop="1" x14ac:dyDescent="0.6">
      <c r="A13" s="995" t="s">
        <v>288</v>
      </c>
      <c r="B13" s="996"/>
      <c r="C13" s="996"/>
      <c r="D13" s="996"/>
      <c r="E13" s="997"/>
      <c r="H13" s="991" t="s">
        <v>341</v>
      </c>
      <c r="I13" s="992"/>
      <c r="J13" s="992"/>
      <c r="K13" s="993"/>
      <c r="N13" s="2"/>
      <c r="O13" s="2"/>
      <c r="P13" s="2"/>
      <c r="Q13" s="2"/>
      <c r="S13" s="978" t="s">
        <v>251</v>
      </c>
      <c r="T13" s="976"/>
      <c r="U13" s="976"/>
      <c r="V13" s="976">
        <f>COUNTIF(Summary!N5:N10,"CDX")</f>
        <v>0</v>
      </c>
      <c r="W13" s="979">
        <f>COUNTIF(Conformation!$K$12:$K$56,"WD")</f>
        <v>0</v>
      </c>
      <c r="X13" s="57"/>
      <c r="Y13" s="2"/>
      <c r="AA13" s="991" t="s">
        <v>393</v>
      </c>
      <c r="AB13" s="992"/>
      <c r="AC13" s="992"/>
      <c r="AD13" s="993"/>
      <c r="AF13" s="53">
        <f>COUNTIF(Conformation!$F22,"Vet 8-10")</f>
        <v>0</v>
      </c>
      <c r="AG13" s="53">
        <f>COUNTIF(Conformation!$F22,"Vet 10-12")</f>
        <v>0</v>
      </c>
      <c r="AH13" s="53">
        <f>COUNTIF(Conformation!$F22,"Vet 12+")</f>
        <v>0</v>
      </c>
      <c r="AI13" s="53">
        <v>0</v>
      </c>
      <c r="AK13" s="53">
        <f>COUNTIF(Conformation!$L22,"WD")</f>
        <v>0</v>
      </c>
      <c r="AL13" s="53">
        <f>COUNTIF(Conformation!$L22,"WB")</f>
        <v>0</v>
      </c>
      <c r="AM13" s="53">
        <f t="shared" si="0"/>
        <v>0</v>
      </c>
    </row>
    <row r="14" spans="1:39" ht="20.149999999999999" customHeight="1" x14ac:dyDescent="0.6">
      <c r="A14" s="998"/>
      <c r="B14" s="987"/>
      <c r="C14" s="987"/>
      <c r="D14" s="987"/>
      <c r="E14" s="988"/>
      <c r="H14" s="972" t="s">
        <v>342</v>
      </c>
      <c r="I14" s="973"/>
      <c r="J14" s="976">
        <f>COUNTIF(Obedience!$E$12:$E$44,"Novice")</f>
        <v>0</v>
      </c>
      <c r="K14" s="979">
        <f>COUNTIF(Conformation!$K$12:$K$56,"WD")</f>
        <v>0</v>
      </c>
      <c r="L14" s="327"/>
      <c r="M14" s="198"/>
      <c r="P14" s="2"/>
      <c r="Q14" s="2"/>
      <c r="S14" s="978" t="s">
        <v>161</v>
      </c>
      <c r="T14" s="976"/>
      <c r="U14" s="976"/>
      <c r="V14" s="976">
        <f>COUNTIF(Summary!N5:N10,"UD")</f>
        <v>0</v>
      </c>
      <c r="W14" s="979">
        <f>COUNTIF(Conformation!$K$12:$K$56,"WD")</f>
        <v>0</v>
      </c>
      <c r="X14" s="57"/>
      <c r="Y14" s="2"/>
      <c r="AA14" s="972" t="s">
        <v>394</v>
      </c>
      <c r="AB14" s="973"/>
      <c r="AC14" s="976">
        <f>COUNTIF(Summary!$M$5:$M$7,"CH")</f>
        <v>0</v>
      </c>
      <c r="AD14" s="977">
        <f>COUNTIF(Conformation!$K$12:$K$56,"WD")</f>
        <v>0</v>
      </c>
      <c r="AF14" s="53">
        <f>COUNTIF(Conformation!$F23,"Vet 8-10")</f>
        <v>0</v>
      </c>
      <c r="AG14" s="53">
        <f>COUNTIF(Conformation!$F23,"Vet 10-12")</f>
        <v>0</v>
      </c>
      <c r="AH14" s="53">
        <f>COUNTIF(Conformation!$F23,"Vet 12+")</f>
        <v>0</v>
      </c>
      <c r="AI14" s="53">
        <v>0</v>
      </c>
      <c r="AK14" s="53">
        <f>COUNTIF(Conformation!$L23,"WD")</f>
        <v>0</v>
      </c>
      <c r="AL14" s="53">
        <f>COUNTIF(Conformation!$L23,"WB")</f>
        <v>0</v>
      </c>
      <c r="AM14" s="53">
        <f t="shared" si="0"/>
        <v>0</v>
      </c>
    </row>
    <row r="15" spans="1:39" ht="20.149999999999999" customHeight="1" x14ac:dyDescent="0.6">
      <c r="A15" s="998" t="s">
        <v>127</v>
      </c>
      <c r="B15" s="987"/>
      <c r="C15" s="987"/>
      <c r="D15" s="987">
        <f>SUM(Obedience!C46)</f>
        <v>0</v>
      </c>
      <c r="E15" s="988"/>
      <c r="H15" s="972" t="s">
        <v>343</v>
      </c>
      <c r="I15" s="973"/>
      <c r="J15" s="976">
        <f>COUNTIF(Obedience!$E$12:$E$44,"Open")</f>
        <v>0</v>
      </c>
      <c r="K15" s="977">
        <f>COUNTIF(Conformation!$K$12:$K$56,"WD")</f>
        <v>0</v>
      </c>
      <c r="L15" s="327"/>
      <c r="M15" s="198"/>
      <c r="N15" s="2"/>
      <c r="O15" s="2"/>
      <c r="P15" s="2"/>
      <c r="Q15" s="2"/>
      <c r="S15" s="978" t="s">
        <v>162</v>
      </c>
      <c r="T15" s="976"/>
      <c r="U15" s="976"/>
      <c r="V15" s="976">
        <f>COUNTIF(Summary!N5:N10,"UDX")</f>
        <v>0</v>
      </c>
      <c r="W15" s="979">
        <f>COUNTIF(Conformation!$K$12:$K$56,"WD")</f>
        <v>0</v>
      </c>
      <c r="X15" s="57"/>
      <c r="Y15" s="2"/>
      <c r="AA15" s="972" t="s">
        <v>394</v>
      </c>
      <c r="AB15" s="973"/>
      <c r="AC15" s="976">
        <f>COUNTIF(Summary!$M$19:$M$20,"CH")</f>
        <v>0</v>
      </c>
      <c r="AD15" s="977">
        <f>COUNTIF(Conformation!$K$12:$K$56,"WD")</f>
        <v>0</v>
      </c>
      <c r="AF15" s="53">
        <f>COUNTIF(Conformation!$F24,"Vet 8-10")</f>
        <v>0</v>
      </c>
      <c r="AG15" s="53">
        <f>COUNTIF(Conformation!$F24,"Vet 10-12")</f>
        <v>0</v>
      </c>
      <c r="AH15" s="53">
        <f>COUNTIF(Conformation!$F24,"Vet 12+")</f>
        <v>0</v>
      </c>
      <c r="AI15" s="53">
        <v>0</v>
      </c>
      <c r="AK15" s="53">
        <f>COUNTIF(Conformation!$L24,"WD")</f>
        <v>0</v>
      </c>
      <c r="AL15" s="53">
        <f>COUNTIF(Conformation!$L24,"WB")</f>
        <v>0</v>
      </c>
      <c r="AM15" s="53">
        <f t="shared" si="0"/>
        <v>0</v>
      </c>
    </row>
    <row r="16" spans="1:39" ht="20.149999999999999" customHeight="1" x14ac:dyDescent="0.6">
      <c r="A16" s="998" t="s">
        <v>132</v>
      </c>
      <c r="B16" s="987"/>
      <c r="C16" s="987"/>
      <c r="D16" s="987">
        <f>SUM(Field!C31)</f>
        <v>0</v>
      </c>
      <c r="E16" s="988"/>
      <c r="H16" s="972" t="s">
        <v>344</v>
      </c>
      <c r="I16" s="973"/>
      <c r="J16" s="976">
        <f>COUNTIF(Obedience!$E$12:$E$44,"Utility")</f>
        <v>0</v>
      </c>
      <c r="K16" s="977">
        <f>COUNTIF(Conformation!$K$12:$K$56,"WD")</f>
        <v>0</v>
      </c>
      <c r="N16" s="2"/>
      <c r="O16" s="2"/>
      <c r="P16" s="2"/>
      <c r="Q16" s="2"/>
      <c r="S16" s="978" t="s">
        <v>43</v>
      </c>
      <c r="T16" s="976"/>
      <c r="U16" s="976"/>
      <c r="V16" s="976">
        <f>COUNTIF(Summary!N5:N10,"OTCH")</f>
        <v>0</v>
      </c>
      <c r="W16" s="979">
        <f>COUNTIF(Conformation!$K$12:$K$56,"WD")</f>
        <v>0</v>
      </c>
      <c r="X16" s="57"/>
      <c r="Y16" s="2"/>
      <c r="AA16" s="972" t="s">
        <v>395</v>
      </c>
      <c r="AB16" s="973"/>
      <c r="AC16" s="976">
        <f>COUNTIF(Summary!$M$5:$M$7,"GCH")</f>
        <v>0</v>
      </c>
      <c r="AD16" s="977">
        <f>COUNTIF(Conformation!$K$12:$K$56,"WD")</f>
        <v>0</v>
      </c>
      <c r="AF16" s="53">
        <f>COUNTIF(Conformation!$F25,"Vet 8-10")</f>
        <v>0</v>
      </c>
      <c r="AG16" s="53">
        <f>COUNTIF(Conformation!$F25,"Vet 10-12")</f>
        <v>0</v>
      </c>
      <c r="AH16" s="53">
        <f>COUNTIF(Conformation!$F25,"Vet 12+")</f>
        <v>0</v>
      </c>
      <c r="AI16" s="53">
        <v>0</v>
      </c>
      <c r="AK16" s="53">
        <f>COUNTIF(Conformation!$L25,"WD")</f>
        <v>0</v>
      </c>
      <c r="AL16" s="53">
        <f>COUNTIF(Conformation!$L25,"WB")</f>
        <v>0</v>
      </c>
      <c r="AM16" s="53">
        <f t="shared" si="0"/>
        <v>0</v>
      </c>
    </row>
    <row r="17" spans="1:39" ht="20.149999999999999" customHeight="1" x14ac:dyDescent="0.6">
      <c r="A17" s="998" t="s">
        <v>289</v>
      </c>
      <c r="B17" s="987"/>
      <c r="C17" s="987"/>
      <c r="D17" s="987">
        <f>SUM(Conformation!C58)</f>
        <v>0</v>
      </c>
      <c r="E17" s="988"/>
      <c r="H17" s="972" t="s">
        <v>327</v>
      </c>
      <c r="I17" s="973"/>
      <c r="J17" s="976">
        <f>COUNTIF(Obedience!$E$12:$E$44,"Grad Nov")</f>
        <v>0</v>
      </c>
      <c r="K17" s="977">
        <f>COUNTIF(Conformation!$K$12:$K$56,"WD")</f>
        <v>0</v>
      </c>
      <c r="N17" s="755"/>
      <c r="O17" s="756"/>
      <c r="P17" s="756"/>
      <c r="Q17" s="756"/>
      <c r="S17" s="1018" t="s">
        <v>65</v>
      </c>
      <c r="T17" s="976"/>
      <c r="U17" s="976"/>
      <c r="V17" s="976">
        <f>COUNTIF(Summary!W5:W10,"WC")</f>
        <v>0</v>
      </c>
      <c r="W17" s="979">
        <f>COUNTIF(Conformation!$K$12:$K$56,"WD")</f>
        <v>0</v>
      </c>
      <c r="X17" s="57"/>
      <c r="Y17" s="2"/>
      <c r="AA17" s="972" t="s">
        <v>395</v>
      </c>
      <c r="AB17" s="973"/>
      <c r="AC17" s="976">
        <f>COUNTIF(Summary!$M$19:$M$20,"GCH")</f>
        <v>0</v>
      </c>
      <c r="AD17" s="977">
        <f>COUNTIF(Conformation!$K$12:$K$56,"WD")</f>
        <v>0</v>
      </c>
      <c r="AF17" s="53">
        <f>COUNTIF(Conformation!$F26,"Vet 8-10")</f>
        <v>0</v>
      </c>
      <c r="AG17" s="53">
        <f>COUNTIF(Conformation!$F26,"Vet 10-12")</f>
        <v>0</v>
      </c>
      <c r="AH17" s="53">
        <f>COUNTIF(Conformation!$F26,"Vet 12+")</f>
        <v>0</v>
      </c>
      <c r="AI17" s="53">
        <v>0</v>
      </c>
      <c r="AK17" s="53">
        <f>COUNTIF(Conformation!$L26,"WD")</f>
        <v>0</v>
      </c>
      <c r="AL17" s="53">
        <f>COUNTIF(Conformation!$L26,"WB")</f>
        <v>0</v>
      </c>
      <c r="AM17" s="53">
        <f t="shared" si="0"/>
        <v>0</v>
      </c>
    </row>
    <row r="18" spans="1:39" ht="20.149999999999999" customHeight="1" thickBot="1" x14ac:dyDescent="0.75">
      <c r="A18" s="974" t="s">
        <v>290</v>
      </c>
      <c r="B18" s="975"/>
      <c r="C18" s="975"/>
      <c r="D18" s="975">
        <f>SUM('Junior Showmanship'!C33)</f>
        <v>0</v>
      </c>
      <c r="E18" s="994"/>
      <c r="H18" s="972" t="s">
        <v>328</v>
      </c>
      <c r="I18" s="973"/>
      <c r="J18" s="976">
        <f>COUNTIF(Obedience!$E$12:$E$44,"Grad Open")</f>
        <v>0</v>
      </c>
      <c r="K18" s="977">
        <f>COUNTIF(Conformation!$K$12:$K$56,"WD")</f>
        <v>0</v>
      </c>
      <c r="S18" s="978" t="s">
        <v>64</v>
      </c>
      <c r="T18" s="976"/>
      <c r="U18" s="976"/>
      <c r="V18" s="976">
        <f>COUNTIF(Summary!W5:W10,"WCX")</f>
        <v>0</v>
      </c>
      <c r="W18" s="979">
        <f>COUNTIF(Conformation!$K$12:$K$56,"WD")</f>
        <v>0</v>
      </c>
      <c r="X18" s="57"/>
      <c r="Y18" s="2"/>
      <c r="AA18" s="970" t="s">
        <v>345</v>
      </c>
      <c r="AB18" s="971"/>
      <c r="AC18" s="971">
        <f>SUM($AC$14:$AC$17)</f>
        <v>0</v>
      </c>
      <c r="AD18" s="986"/>
      <c r="AF18" s="53">
        <f>COUNTIF(Conformation!$F27,"Vet 8-10")</f>
        <v>0</v>
      </c>
      <c r="AG18" s="53">
        <f>COUNTIF(Conformation!$F27,"Vet 10-12")</f>
        <v>0</v>
      </c>
      <c r="AH18" s="53">
        <f>COUNTIF(Conformation!$F27,"Vet 12+")</f>
        <v>0</v>
      </c>
      <c r="AI18" s="53">
        <v>0</v>
      </c>
      <c r="AK18" s="53">
        <f>COUNTIF(Conformation!$L27,"WD")</f>
        <v>0</v>
      </c>
      <c r="AL18" s="53">
        <f>COUNTIF(Conformation!$L27,"WB")</f>
        <v>0</v>
      </c>
      <c r="AM18" s="53">
        <f t="shared" si="0"/>
        <v>0</v>
      </c>
    </row>
    <row r="19" spans="1:39" ht="20.149999999999999" customHeight="1" thickTop="1" thickBot="1" x14ac:dyDescent="0.75">
      <c r="H19" s="972" t="s">
        <v>329</v>
      </c>
      <c r="I19" s="973"/>
      <c r="J19" s="976">
        <f>COUNTIF(Obedience!$E$12:$E$44,"Ver")</f>
        <v>0</v>
      </c>
      <c r="K19" s="977">
        <f>COUNTIF(Conformation!$K$12:$K$56,"WD")</f>
        <v>0</v>
      </c>
      <c r="P19" s="963" t="s">
        <v>296</v>
      </c>
      <c r="Q19" s="964"/>
      <c r="R19" s="965"/>
      <c r="S19" s="978" t="s">
        <v>146</v>
      </c>
      <c r="T19" s="976"/>
      <c r="U19" s="976"/>
      <c r="V19" s="976">
        <f>COUNTIF(Summary!Q5:Q10,"TD")</f>
        <v>0</v>
      </c>
      <c r="W19" s="979">
        <f>COUNTIF(Conformation!$K$12:$K$56,"WD")</f>
        <v>0</v>
      </c>
      <c r="X19" s="57"/>
      <c r="Y19" s="2"/>
      <c r="AA19" s="1029"/>
      <c r="AB19" s="357"/>
      <c r="AC19" s="1030"/>
      <c r="AD19" s="1030"/>
      <c r="AF19" s="53">
        <f>COUNTIF(Conformation!$F28,"Vet 8-10")</f>
        <v>0</v>
      </c>
      <c r="AG19" s="53">
        <f>COUNTIF(Conformation!$F28,"Vet 10-12")</f>
        <v>0</v>
      </c>
      <c r="AH19" s="53">
        <f>COUNTIF(Conformation!$F28,"Vet 12+")</f>
        <v>0</v>
      </c>
      <c r="AI19" s="53">
        <v>0</v>
      </c>
      <c r="AK19" s="53">
        <f>COUNTIF(Conformation!$L28,"WD")</f>
        <v>0</v>
      </c>
      <c r="AL19" s="53">
        <f>COUNTIF(Conformation!$L28,"WB")</f>
        <v>0</v>
      </c>
      <c r="AM19" s="53">
        <f t="shared" si="0"/>
        <v>0</v>
      </c>
    </row>
    <row r="20" spans="1:39" ht="20.149999999999999" customHeight="1" thickTop="1" thickBot="1" x14ac:dyDescent="0.75">
      <c r="A20" s="968" t="s">
        <v>356</v>
      </c>
      <c r="B20" s="968"/>
      <c r="C20" s="968"/>
      <c r="D20" s="968"/>
      <c r="E20" s="968"/>
      <c r="F20" s="969"/>
      <c r="H20" s="970" t="s">
        <v>345</v>
      </c>
      <c r="I20" s="971"/>
      <c r="J20" s="971">
        <f>SUM($J$14:$K$19)</f>
        <v>0</v>
      </c>
      <c r="K20" s="986"/>
      <c r="S20" s="978" t="s">
        <v>148</v>
      </c>
      <c r="T20" s="976"/>
      <c r="U20" s="976"/>
      <c r="V20" s="976">
        <f>COUNTIF(Summary!Q5:Q10,"TDX")</f>
        <v>0</v>
      </c>
      <c r="W20" s="979">
        <f>COUNTIF(Conformation!$K$12:$K$56,"WD")</f>
        <v>0</v>
      </c>
      <c r="X20" s="57"/>
      <c r="Y20" s="2"/>
      <c r="AA20" s="755"/>
      <c r="AB20" s="756"/>
      <c r="AC20" s="756"/>
      <c r="AD20" s="756"/>
      <c r="AF20" s="53">
        <f>COUNTIF(Conformation!$F29,"Vet 8-10")</f>
        <v>0</v>
      </c>
      <c r="AG20" s="53">
        <f>COUNTIF(Conformation!$F29,"Vet 10-12")</f>
        <v>0</v>
      </c>
      <c r="AH20" s="53">
        <f>COUNTIF(Conformation!$F29,"Vet 12+")</f>
        <v>0</v>
      </c>
      <c r="AI20" s="53">
        <v>0</v>
      </c>
      <c r="AK20" s="53">
        <f>COUNTIF(Conformation!$L29,"WD")</f>
        <v>0</v>
      </c>
      <c r="AL20" s="53">
        <f>COUNTIF(Conformation!$L29,"WB")</f>
        <v>0</v>
      </c>
      <c r="AM20" s="53">
        <f t="shared" si="0"/>
        <v>0</v>
      </c>
    </row>
    <row r="21" spans="1:39" ht="20.149999999999999" customHeight="1" thickBot="1" x14ac:dyDescent="0.75">
      <c r="A21" s="968" t="s">
        <v>117</v>
      </c>
      <c r="B21" s="968"/>
      <c r="C21" s="968"/>
      <c r="D21" s="968"/>
      <c r="E21" s="968"/>
      <c r="F21" s="169">
        <f>COUNTIF(Conformation!$J$12:$J$56,"AM")</f>
        <v>0</v>
      </c>
      <c r="G21" s="168"/>
      <c r="S21" s="978" t="s">
        <v>149</v>
      </c>
      <c r="T21" s="976"/>
      <c r="U21" s="976"/>
      <c r="V21" s="976">
        <f>COUNTIF(Summary!Q5:Q10,"VST")</f>
        <v>0</v>
      </c>
      <c r="W21" s="979">
        <f>COUNTIF(Conformation!$K$12:$K$56,"WD")</f>
        <v>0</v>
      </c>
      <c r="X21" s="57"/>
      <c r="Y21" s="2"/>
      <c r="AF21" s="53">
        <f>COUNTIF(Conformation!$F30,"Vet 8-10")</f>
        <v>0</v>
      </c>
      <c r="AG21" s="53">
        <f>COUNTIF(Conformation!$F30,"Vet 10-12")</f>
        <v>0</v>
      </c>
      <c r="AH21" s="53">
        <f>COUNTIF(Conformation!$F30,"Vet 12+")</f>
        <v>0</v>
      </c>
      <c r="AI21" s="53">
        <v>0</v>
      </c>
      <c r="AK21" s="53">
        <f>COUNTIF(Conformation!$L30,"WD")</f>
        <v>0</v>
      </c>
      <c r="AL21" s="53">
        <f>COUNTIF(Conformation!$L30,"WB")</f>
        <v>0</v>
      </c>
      <c r="AM21" s="53">
        <f t="shared" si="0"/>
        <v>0</v>
      </c>
    </row>
    <row r="22" spans="1:39" ht="20.149999999999999" customHeight="1" thickBot="1" x14ac:dyDescent="0.75">
      <c r="A22" s="968" t="s">
        <v>302</v>
      </c>
      <c r="B22" s="968"/>
      <c r="C22" s="968"/>
      <c r="D22" s="968"/>
      <c r="E22" s="968"/>
      <c r="F22" s="169">
        <f>COUNTIF(Conformation!$J$12:$J$56,"AM")</f>
        <v>0</v>
      </c>
      <c r="G22" s="168"/>
      <c r="S22" s="966" t="s">
        <v>150</v>
      </c>
      <c r="T22" s="967"/>
      <c r="U22" s="967"/>
      <c r="V22" s="967">
        <f>COUNTIF(Summary!Q5:Q10,"CT")</f>
        <v>0</v>
      </c>
      <c r="W22" s="1019">
        <f>COUNTIF(Conformation!$K$12:$K$56,"WD")</f>
        <v>0</v>
      </c>
      <c r="X22" s="57"/>
      <c r="Y22" s="2"/>
      <c r="AF22" s="53">
        <f>COUNTIF(Conformation!$F31,"Vet 8-10")</f>
        <v>0</v>
      </c>
      <c r="AG22" s="53">
        <f>COUNTIF(Conformation!$F31,"Vet 10-12")</f>
        <v>0</v>
      </c>
      <c r="AH22" s="53">
        <f>COUNTIF(Conformation!$F31,"Vet 12+")</f>
        <v>0</v>
      </c>
      <c r="AI22" s="53">
        <v>0</v>
      </c>
      <c r="AK22" s="53">
        <f>COUNTIF(Conformation!$L31,"WD")</f>
        <v>0</v>
      </c>
      <c r="AL22" s="53">
        <f>COUNTIF(Conformation!$L31,"WB")</f>
        <v>0</v>
      </c>
      <c r="AM22" s="53">
        <f t="shared" si="0"/>
        <v>0</v>
      </c>
    </row>
    <row r="23" spans="1:39" ht="20.149999999999999" customHeight="1" thickTop="1" thickBot="1" x14ac:dyDescent="0.75">
      <c r="H23" s="982" t="s">
        <v>431</v>
      </c>
      <c r="I23" s="983"/>
      <c r="J23" s="983"/>
      <c r="K23" s="984"/>
      <c r="P23" s="963" t="s">
        <v>297</v>
      </c>
      <c r="Q23" s="964"/>
      <c r="R23" s="965"/>
      <c r="S23" s="1028" t="s">
        <v>146</v>
      </c>
      <c r="T23" s="1026"/>
      <c r="U23" s="1026"/>
      <c r="V23" s="1026">
        <f>COUNTIF(Summary!Q19:Q23,"TD")</f>
        <v>0</v>
      </c>
      <c r="W23" s="1027">
        <f>COUNTIF(Conformation!$K$12:$K$56,"WD")</f>
        <v>0</v>
      </c>
      <c r="AF23" s="53">
        <f>COUNTIF(Conformation!$F32,"Vet 8-10")</f>
        <v>0</v>
      </c>
      <c r="AG23" s="53">
        <f>COUNTIF(Conformation!$F32,"Vet 10-12")</f>
        <v>0</v>
      </c>
      <c r="AH23" s="53">
        <f>COUNTIF(Conformation!$F32,"Vet 12+")</f>
        <v>0</v>
      </c>
      <c r="AI23" s="53">
        <v>0</v>
      </c>
      <c r="AK23" s="53">
        <f>COUNTIF(Conformation!$L32,"WD")</f>
        <v>0</v>
      </c>
      <c r="AL23" s="53">
        <f>COUNTIF(Conformation!$L32,"WB")</f>
        <v>0</v>
      </c>
      <c r="AM23" s="53">
        <f t="shared" si="0"/>
        <v>0</v>
      </c>
    </row>
    <row r="24" spans="1:39" ht="20.149999999999999" customHeight="1" thickTop="1" x14ac:dyDescent="0.6">
      <c r="H24" s="985"/>
      <c r="I24" s="983"/>
      <c r="J24" s="983"/>
      <c r="K24" s="984"/>
      <c r="AF24" s="53">
        <f>COUNTIF(Conformation!$F33,"Vet 8-10")</f>
        <v>0</v>
      </c>
      <c r="AG24" s="53">
        <f>COUNTIF(Conformation!$F33,"Vet 10-12")</f>
        <v>0</v>
      </c>
      <c r="AH24" s="53">
        <f>COUNTIF(Conformation!$F33,"Vet 12+")</f>
        <v>0</v>
      </c>
      <c r="AI24" s="53">
        <v>0</v>
      </c>
      <c r="AK24" s="53">
        <f>COUNTIF(Conformation!$L33,"WD")</f>
        <v>0</v>
      </c>
      <c r="AL24" s="53">
        <f>COUNTIF(Conformation!$L33,"WB")</f>
        <v>0</v>
      </c>
      <c r="AM24" s="53">
        <f t="shared" si="0"/>
        <v>0</v>
      </c>
    </row>
    <row r="25" spans="1:39" ht="20.149999999999999" customHeight="1" x14ac:dyDescent="0.6">
      <c r="A25" s="200"/>
      <c r="B25" s="2"/>
      <c r="C25" s="161"/>
      <c r="D25" s="161"/>
      <c r="E25" s="161"/>
      <c r="F25" s="161"/>
      <c r="G25" s="161"/>
      <c r="H25" s="979" cm="1">
        <f t="array" ref="H25">IF(OR(Summary!$N$19:$N$26="CD",(Summary!$N$19:$N$26="PCD")),1,0)</f>
        <v>0</v>
      </c>
      <c r="I25" s="980"/>
      <c r="J25" s="980"/>
      <c r="K25" s="981"/>
      <c r="L25" s="161"/>
      <c r="M25" s="161"/>
      <c r="N25" s="161"/>
      <c r="O25" s="161"/>
      <c r="P25" s="161"/>
      <c r="Q25" s="161"/>
      <c r="R25" s="161"/>
      <c r="S25" s="161"/>
      <c r="T25" s="161"/>
      <c r="U25" s="161"/>
      <c r="V25" s="161"/>
      <c r="W25" s="161"/>
      <c r="X25" s="161"/>
      <c r="Y25" s="161"/>
      <c r="Z25" s="161"/>
      <c r="AA25" s="161"/>
      <c r="AB25" s="161"/>
      <c r="AC25" s="161"/>
      <c r="AD25" s="161"/>
      <c r="AE25" s="161"/>
      <c r="AF25" s="53">
        <f>COUNTIF(Conformation!$F34,"Vet 8-10")</f>
        <v>0</v>
      </c>
      <c r="AG25" s="53">
        <f>COUNTIF(Conformation!$F34,"Vet 10-12")</f>
        <v>0</v>
      </c>
      <c r="AH25" s="53">
        <f>COUNTIF(Conformation!$F34,"Vet 12+")</f>
        <v>0</v>
      </c>
      <c r="AI25" s="53">
        <v>0</v>
      </c>
      <c r="AJ25" s="161"/>
      <c r="AK25" s="53">
        <f>COUNTIF(Conformation!$L34,"WD")</f>
        <v>0</v>
      </c>
      <c r="AL25" s="53">
        <f>COUNTIF(Conformation!$L34,"WB")</f>
        <v>0</v>
      </c>
      <c r="AM25" s="53">
        <f t="shared" si="0"/>
        <v>0</v>
      </c>
    </row>
    <row r="26" spans="1:39" ht="20.149999999999999" customHeight="1" x14ac:dyDescent="0.6">
      <c r="A26" s="200"/>
      <c r="B26" s="2"/>
      <c r="C26" s="161"/>
      <c r="D26" s="161"/>
      <c r="E26" s="161"/>
      <c r="F26" s="161"/>
      <c r="G26" s="161"/>
      <c r="H26" s="979" cm="1">
        <f t="array" ref="H26">IF(OR(Summary!$N$5:$N$13="CD",(Summary!$N$5:$N$13="PCD")),1,0)</f>
        <v>0</v>
      </c>
      <c r="I26" s="980"/>
      <c r="J26" s="980"/>
      <c r="K26" s="981"/>
      <c r="L26" s="161"/>
      <c r="M26" s="161"/>
      <c r="N26" s="161"/>
      <c r="O26" s="161"/>
      <c r="P26" s="161"/>
      <c r="Q26" s="161"/>
      <c r="R26" s="161"/>
      <c r="S26" s="161"/>
      <c r="T26" s="161"/>
      <c r="U26" s="161"/>
      <c r="V26" s="161"/>
      <c r="W26" s="161"/>
      <c r="X26" s="161"/>
      <c r="Y26" s="161"/>
      <c r="Z26" s="161"/>
      <c r="AA26" s="161"/>
      <c r="AB26" s="161"/>
      <c r="AC26" s="161"/>
      <c r="AD26" s="161"/>
      <c r="AE26" s="161"/>
      <c r="AF26" s="53">
        <f>COUNTIF(Conformation!$F35,"Vet 8-10")</f>
        <v>0</v>
      </c>
      <c r="AG26" s="53">
        <f>COUNTIF(Conformation!$F35,"Vet 10-12")</f>
        <v>0</v>
      </c>
      <c r="AH26" s="53">
        <f>COUNTIF(Conformation!$F35,"Vet 12+")</f>
        <v>0</v>
      </c>
      <c r="AI26" s="53">
        <v>0</v>
      </c>
      <c r="AJ26" s="161"/>
      <c r="AK26" s="53">
        <f>COUNTIF(Conformation!$L35,"WD")</f>
        <v>0</v>
      </c>
      <c r="AL26" s="53">
        <f>COUNTIF(Conformation!$L35,"WB")</f>
        <v>0</v>
      </c>
      <c r="AM26" s="53">
        <f t="shared" si="0"/>
        <v>0</v>
      </c>
    </row>
    <row r="27" spans="1:39" x14ac:dyDescent="0.6">
      <c r="A27" s="200"/>
      <c r="B27" s="200"/>
      <c r="C27" s="161"/>
      <c r="D27" s="161"/>
      <c r="E27" s="161"/>
      <c r="F27" s="161"/>
      <c r="G27" s="161"/>
      <c r="H27" s="979">
        <f>SUM(H25:K26)</f>
        <v>0</v>
      </c>
      <c r="I27" s="980"/>
      <c r="J27" s="980"/>
      <c r="K27" s="981"/>
      <c r="L27" s="161"/>
      <c r="M27" s="161"/>
      <c r="N27" s="161"/>
      <c r="O27" s="161"/>
      <c r="P27" s="161"/>
      <c r="Q27" s="161"/>
      <c r="R27" s="161"/>
      <c r="S27" s="161"/>
      <c r="T27" s="161"/>
      <c r="U27" s="161"/>
      <c r="V27" s="161"/>
      <c r="W27" s="161"/>
      <c r="X27" s="161"/>
      <c r="Y27" s="161"/>
      <c r="Z27" s="161"/>
      <c r="AA27" s="161"/>
      <c r="AB27" s="161"/>
      <c r="AC27" s="161"/>
      <c r="AD27" s="161"/>
      <c r="AE27" s="161"/>
      <c r="AF27" s="53">
        <f>COUNTIF(Conformation!$F36,"Vet 8-10")</f>
        <v>0</v>
      </c>
      <c r="AG27" s="53">
        <f>COUNTIF(Conformation!$F36,"Vet 10-12")</f>
        <v>0</v>
      </c>
      <c r="AH27" s="53">
        <f>COUNTIF(Conformation!$F36,"Vet 12+")</f>
        <v>0</v>
      </c>
      <c r="AI27" s="53">
        <v>0</v>
      </c>
      <c r="AJ27" s="161"/>
      <c r="AK27" s="53">
        <f>COUNTIF(Conformation!$L36,"WD")</f>
        <v>0</v>
      </c>
      <c r="AL27" s="53">
        <f>COUNTIF(Conformation!$L36,"WB")</f>
        <v>0</v>
      </c>
      <c r="AM27" s="53">
        <f t="shared" si="0"/>
        <v>0</v>
      </c>
    </row>
    <row r="28" spans="1:39" x14ac:dyDescent="0.6">
      <c r="A28" s="200"/>
      <c r="B28" s="2"/>
      <c r="C28" s="161"/>
      <c r="D28" s="2"/>
      <c r="E28" s="2"/>
      <c r="F28" s="2"/>
      <c r="G28" s="2"/>
      <c r="H28" s="989" t="s">
        <v>432</v>
      </c>
      <c r="I28" s="980"/>
      <c r="J28" s="980"/>
      <c r="K28" s="981"/>
      <c r="L28" s="2"/>
      <c r="M28" s="2"/>
      <c r="N28" s="2"/>
      <c r="O28" s="2"/>
      <c r="P28" s="2"/>
      <c r="Q28" s="2"/>
      <c r="R28" s="2"/>
      <c r="S28" s="2"/>
      <c r="T28" s="2"/>
      <c r="U28" s="2"/>
      <c r="V28" s="2"/>
      <c r="W28" s="2"/>
      <c r="X28" s="2"/>
      <c r="Y28" s="2"/>
      <c r="Z28" s="2"/>
      <c r="AA28" s="2"/>
      <c r="AB28" s="2"/>
      <c r="AC28" s="2"/>
      <c r="AD28" s="2"/>
      <c r="AE28" s="2"/>
      <c r="AF28" s="53">
        <f>COUNTIF(Conformation!$F37,"Vet 8-10")</f>
        <v>0</v>
      </c>
      <c r="AG28" s="53">
        <f>COUNTIF(Conformation!$F37,"Vet 10-12")</f>
        <v>0</v>
      </c>
      <c r="AH28" s="53">
        <f>COUNTIF(Conformation!$F37,"Vet 12+")</f>
        <v>0</v>
      </c>
      <c r="AI28" s="53">
        <v>0</v>
      </c>
      <c r="AJ28" s="2"/>
      <c r="AK28" s="53">
        <f>COUNTIF(Conformation!$L37,"WD")</f>
        <v>0</v>
      </c>
      <c r="AL28" s="53">
        <f>COUNTIF(Conformation!$L37,"WB")</f>
        <v>0</v>
      </c>
      <c r="AM28" s="53">
        <f t="shared" si="0"/>
        <v>0</v>
      </c>
    </row>
    <row r="29" spans="1:39" x14ac:dyDescent="0.6">
      <c r="A29" s="201"/>
      <c r="B29" s="2"/>
      <c r="C29" s="161"/>
      <c r="D29" s="161"/>
      <c r="E29" s="161"/>
      <c r="F29" s="161"/>
      <c r="G29" s="161"/>
      <c r="H29" s="979" t="str">
        <f>IF(OR(Summary!$C$13&gt;=6,Summary!$C$14&gt;=6),"Yes","No")</f>
        <v>No</v>
      </c>
      <c r="I29" s="980"/>
      <c r="J29" s="980"/>
      <c r="K29" s="981"/>
      <c r="L29" s="161"/>
      <c r="M29" s="161"/>
      <c r="N29" s="161"/>
      <c r="O29" s="161"/>
      <c r="P29" s="161"/>
      <c r="Q29" s="161"/>
      <c r="R29" s="161"/>
      <c r="S29" s="161"/>
      <c r="T29" s="161"/>
      <c r="U29" s="161"/>
      <c r="V29" s="161"/>
      <c r="W29" s="161"/>
      <c r="X29" s="161"/>
      <c r="Y29" s="161"/>
      <c r="Z29" s="161"/>
      <c r="AA29" s="161"/>
      <c r="AB29" s="161"/>
      <c r="AC29" s="161"/>
      <c r="AD29" s="161"/>
      <c r="AE29" s="161"/>
      <c r="AF29" s="53">
        <f>COUNTIF(Conformation!$F38,"Vet 8-10")</f>
        <v>0</v>
      </c>
      <c r="AG29" s="53">
        <f>COUNTIF(Conformation!$F38,"Vet 10-12")</f>
        <v>0</v>
      </c>
      <c r="AH29" s="53">
        <f>COUNTIF(Conformation!$F38,"Vet 12+")</f>
        <v>0</v>
      </c>
      <c r="AI29" s="53">
        <v>0</v>
      </c>
      <c r="AJ29" s="161"/>
      <c r="AK29" s="53">
        <f>COUNTIF(Conformation!$L38,"WD")</f>
        <v>0</v>
      </c>
      <c r="AL29" s="53">
        <f>COUNTIF(Conformation!$L38,"WB")</f>
        <v>0</v>
      </c>
      <c r="AM29" s="53">
        <f t="shared" si="0"/>
        <v>0</v>
      </c>
    </row>
    <row r="30" spans="1:39" x14ac:dyDescent="0.6">
      <c r="A30" s="201"/>
      <c r="B30" s="2"/>
      <c r="C30" s="161"/>
      <c r="D30" s="161"/>
      <c r="E30" s="161"/>
      <c r="F30" s="161"/>
      <c r="G30" s="161"/>
      <c r="H30" s="161"/>
      <c r="I30" s="161"/>
      <c r="J30" s="161"/>
      <c r="K30" s="161"/>
      <c r="L30" s="161"/>
      <c r="M30" s="161"/>
      <c r="N30" s="161"/>
      <c r="O30" s="161"/>
      <c r="P30" s="161"/>
      <c r="Q30" s="161"/>
      <c r="R30" s="161"/>
      <c r="S30" s="161"/>
      <c r="T30" s="161"/>
      <c r="U30" s="161"/>
      <c r="V30" s="161"/>
      <c r="W30" s="161"/>
      <c r="X30" s="161"/>
      <c r="Y30" s="161"/>
      <c r="Z30" s="161"/>
      <c r="AA30" s="161"/>
      <c r="AB30" s="161"/>
      <c r="AC30" s="161"/>
      <c r="AD30" s="161"/>
      <c r="AE30" s="161"/>
      <c r="AF30" s="53">
        <f>COUNTIF(Conformation!$F39,"Vet 8-10")</f>
        <v>0</v>
      </c>
      <c r="AG30" s="53">
        <f>COUNTIF(Conformation!$F39,"Vet 10-12")</f>
        <v>0</v>
      </c>
      <c r="AH30" s="53">
        <f>COUNTIF(Conformation!$F39,"Vet 12+")</f>
        <v>0</v>
      </c>
      <c r="AI30" s="53">
        <v>0</v>
      </c>
      <c r="AJ30" s="161"/>
      <c r="AK30" s="53">
        <f>COUNTIF(Conformation!$L39,"WD")</f>
        <v>0</v>
      </c>
      <c r="AL30" s="53">
        <f>COUNTIF(Conformation!$L39,"WB")</f>
        <v>0</v>
      </c>
      <c r="AM30" s="53">
        <f t="shared" si="0"/>
        <v>0</v>
      </c>
    </row>
    <row r="31" spans="1:39" x14ac:dyDescent="0.6">
      <c r="A31" s="198"/>
      <c r="C31" s="161"/>
      <c r="AF31" s="53">
        <f>COUNTIF(Conformation!$F40,"Vet 8-10")</f>
        <v>0</v>
      </c>
      <c r="AG31" s="53">
        <f>COUNTIF(Conformation!$F40,"Vet 10-12")</f>
        <v>0</v>
      </c>
      <c r="AH31" s="53">
        <f>COUNTIF(Conformation!$F40,"Vet 12+")</f>
        <v>0</v>
      </c>
      <c r="AI31" s="53">
        <v>0</v>
      </c>
      <c r="AK31" s="53">
        <f>COUNTIF(Conformation!$L40,"WD")</f>
        <v>0</v>
      </c>
      <c r="AL31" s="53">
        <f>COUNTIF(Conformation!$L40,"WB")</f>
        <v>0</v>
      </c>
      <c r="AM31" s="53">
        <f t="shared" si="0"/>
        <v>0</v>
      </c>
    </row>
    <row r="32" spans="1:39" x14ac:dyDescent="0.6">
      <c r="AF32" s="53">
        <f>COUNTIF(Conformation!$F41,"Vet 8-10")</f>
        <v>0</v>
      </c>
      <c r="AG32" s="53">
        <f>COUNTIF(Conformation!$F41,"Vet 10-12")</f>
        <v>0</v>
      </c>
      <c r="AH32" s="53">
        <f>COUNTIF(Conformation!$F41,"Vet 12+")</f>
        <v>0</v>
      </c>
      <c r="AI32" s="53">
        <v>0</v>
      </c>
      <c r="AK32" s="53">
        <f>COUNTIF(Conformation!$L41,"WD")</f>
        <v>0</v>
      </c>
      <c r="AL32" s="53">
        <f>COUNTIF(Conformation!$L41,"WB")</f>
        <v>0</v>
      </c>
      <c r="AM32" s="53">
        <f t="shared" si="0"/>
        <v>0</v>
      </c>
    </row>
    <row r="33" spans="1:39" x14ac:dyDescent="0.6">
      <c r="A33" s="200"/>
      <c r="B33" s="2"/>
      <c r="C33" s="161"/>
      <c r="D33" s="161"/>
      <c r="E33" s="161"/>
      <c r="F33" s="161"/>
      <c r="G33" s="161"/>
      <c r="H33" s="161"/>
      <c r="I33" s="161"/>
      <c r="J33" s="161"/>
      <c r="K33" s="161"/>
      <c r="L33" s="161"/>
      <c r="M33" s="161"/>
      <c r="N33" s="161"/>
      <c r="O33" s="161"/>
      <c r="P33" s="161"/>
      <c r="Q33" s="161"/>
      <c r="R33" s="161"/>
      <c r="S33" s="161"/>
      <c r="T33" s="161"/>
      <c r="U33" s="161"/>
      <c r="V33" s="161"/>
      <c r="W33" s="161"/>
      <c r="X33" s="161"/>
      <c r="Y33" s="161"/>
      <c r="Z33" s="161"/>
      <c r="AA33" s="161"/>
      <c r="AB33" s="161"/>
      <c r="AC33" s="161"/>
      <c r="AD33" s="161"/>
      <c r="AE33" s="161"/>
      <c r="AF33" s="53">
        <f>COUNTIF(Conformation!$F52,"Vet 8-10")</f>
        <v>0</v>
      </c>
      <c r="AG33" s="53">
        <f>COUNTIF(Conformation!$F52,"Vet 10-12")</f>
        <v>0</v>
      </c>
      <c r="AH33" s="53">
        <f>COUNTIF(Conformation!$F52,"Vet 12+")</f>
        <v>0</v>
      </c>
      <c r="AI33" s="53">
        <v>0</v>
      </c>
      <c r="AJ33" s="161"/>
      <c r="AK33" s="53">
        <f>COUNTIF(Conformation!$L52,"WD")</f>
        <v>0</v>
      </c>
      <c r="AL33" s="53">
        <f>COUNTIF(Conformation!$L52,"WB")</f>
        <v>0</v>
      </c>
      <c r="AM33" s="53">
        <f t="shared" si="0"/>
        <v>0</v>
      </c>
    </row>
    <row r="34" spans="1:39" x14ac:dyDescent="0.6">
      <c r="A34" s="200"/>
      <c r="B34" s="2"/>
      <c r="C34" s="161"/>
      <c r="D34" s="161"/>
      <c r="E34" s="161"/>
      <c r="F34" s="161"/>
      <c r="G34" s="161"/>
      <c r="H34" s="161"/>
      <c r="I34" s="161"/>
      <c r="J34" s="161"/>
      <c r="K34" s="161"/>
      <c r="L34" s="161"/>
      <c r="M34" s="161"/>
      <c r="N34" s="161"/>
      <c r="O34" s="161"/>
      <c r="P34" s="161"/>
      <c r="Q34" s="161"/>
      <c r="R34" s="161"/>
      <c r="S34" s="161"/>
      <c r="T34" s="161"/>
      <c r="U34" s="161"/>
      <c r="V34" s="161"/>
      <c r="W34" s="161"/>
      <c r="X34" s="161"/>
      <c r="Y34" s="161"/>
      <c r="Z34" s="161"/>
      <c r="AA34" s="161"/>
      <c r="AB34" s="161"/>
      <c r="AC34" s="161"/>
      <c r="AD34" s="161"/>
      <c r="AE34" s="161"/>
      <c r="AF34" s="53">
        <f>COUNTIF(Conformation!$F53,"Vet 8-10")</f>
        <v>0</v>
      </c>
      <c r="AG34" s="53">
        <f>COUNTIF(Conformation!$F53,"Vet 10-12")</f>
        <v>0</v>
      </c>
      <c r="AH34" s="53">
        <f>COUNTIF(Conformation!$F53,"Vet 12+")</f>
        <v>0</v>
      </c>
      <c r="AI34" s="53">
        <v>0</v>
      </c>
      <c r="AJ34" s="161"/>
      <c r="AK34" s="53">
        <f>COUNTIF(Conformation!$L53,"WD")</f>
        <v>0</v>
      </c>
      <c r="AL34" s="53">
        <f>COUNTIF(Conformation!$L53,"WB")</f>
        <v>0</v>
      </c>
      <c r="AM34" s="53">
        <f t="shared" si="0"/>
        <v>0</v>
      </c>
    </row>
    <row r="35" spans="1:39" x14ac:dyDescent="0.6">
      <c r="A35" s="200"/>
      <c r="B35" s="200"/>
      <c r="C35" s="161"/>
      <c r="D35" s="161"/>
      <c r="E35" s="161"/>
      <c r="F35" s="161"/>
      <c r="G35" s="161"/>
      <c r="H35" s="161"/>
      <c r="I35" s="161"/>
      <c r="J35" s="161"/>
      <c r="K35" s="161"/>
      <c r="L35" s="161"/>
      <c r="M35" s="161"/>
      <c r="N35" s="161"/>
      <c r="O35" s="161"/>
      <c r="P35" s="161"/>
      <c r="Q35" s="161"/>
      <c r="R35" s="161"/>
      <c r="S35" s="161"/>
      <c r="T35" s="161"/>
      <c r="U35" s="161"/>
      <c r="V35" s="161"/>
      <c r="W35" s="161"/>
      <c r="X35" s="161"/>
      <c r="Y35" s="161"/>
      <c r="Z35" s="161"/>
      <c r="AA35" s="161"/>
      <c r="AB35" s="161"/>
      <c r="AC35" s="161"/>
      <c r="AD35" s="161"/>
      <c r="AE35" s="161"/>
      <c r="AF35" s="53">
        <f>COUNTIF(Conformation!$F54,"Vet 8-10")</f>
        <v>0</v>
      </c>
      <c r="AG35" s="53">
        <f>COUNTIF(Conformation!$F54,"Vet 10-12")</f>
        <v>0</v>
      </c>
      <c r="AH35" s="53">
        <f>COUNTIF(Conformation!$F54,"Vet 12+")</f>
        <v>0</v>
      </c>
      <c r="AI35" s="53">
        <v>0</v>
      </c>
      <c r="AJ35" s="161"/>
      <c r="AK35" s="53">
        <f>COUNTIF(Conformation!$L54,"WD")</f>
        <v>0</v>
      </c>
      <c r="AL35" s="53">
        <f>COUNTIF(Conformation!$L54,"WB")</f>
        <v>0</v>
      </c>
      <c r="AM35" s="53">
        <f t="shared" si="0"/>
        <v>0</v>
      </c>
    </row>
    <row r="36" spans="1:39" x14ac:dyDescent="0.6">
      <c r="A36" s="2"/>
      <c r="B36" s="2"/>
      <c r="C36" s="2"/>
      <c r="D36" s="2"/>
      <c r="E36" s="2"/>
      <c r="F36" s="2"/>
      <c r="G36" s="2"/>
      <c r="H36" s="2"/>
      <c r="I36" s="2"/>
      <c r="J36" s="2"/>
      <c r="K36" s="2"/>
      <c r="L36" s="2"/>
      <c r="M36" s="2"/>
      <c r="N36" s="2"/>
      <c r="O36" s="2"/>
      <c r="P36" s="2"/>
      <c r="Q36" s="2"/>
      <c r="R36" s="2"/>
      <c r="S36" s="2"/>
      <c r="T36" s="2"/>
      <c r="U36" s="2"/>
      <c r="V36" s="2"/>
      <c r="W36" s="2"/>
      <c r="X36" s="2"/>
      <c r="Y36" s="2"/>
      <c r="Z36" s="2"/>
      <c r="AA36" s="2"/>
      <c r="AB36" s="2"/>
      <c r="AC36" s="2"/>
      <c r="AD36" s="2"/>
      <c r="AE36" s="2"/>
      <c r="AF36" s="53">
        <f>COUNTIF(Conformation!$F55,"Vet 8-10")</f>
        <v>0</v>
      </c>
      <c r="AG36" s="53">
        <f>COUNTIF(Conformation!$F55,"Vet 10-12")</f>
        <v>0</v>
      </c>
      <c r="AH36" s="53">
        <f>COUNTIF(Conformation!$F55,"Vet 12+")</f>
        <v>0</v>
      </c>
      <c r="AI36" s="53">
        <v>0</v>
      </c>
      <c r="AJ36" s="2"/>
      <c r="AK36" s="53">
        <f>COUNTIF(Conformation!$L55,"WD")</f>
        <v>0</v>
      </c>
      <c r="AL36" s="53">
        <f>COUNTIF(Conformation!$L55,"WB")</f>
        <v>0</v>
      </c>
      <c r="AM36" s="53">
        <f t="shared" si="0"/>
        <v>0</v>
      </c>
    </row>
    <row r="37" spans="1:39" x14ac:dyDescent="0.6">
      <c r="A37" s="201"/>
      <c r="B37" s="2"/>
      <c r="C37" s="161"/>
      <c r="D37" s="161"/>
      <c r="E37" s="161"/>
      <c r="F37" s="161"/>
      <c r="G37" s="161"/>
      <c r="H37" s="161"/>
      <c r="I37" s="161"/>
      <c r="J37" s="161"/>
      <c r="K37" s="161"/>
      <c r="L37" s="161"/>
      <c r="M37" s="161"/>
      <c r="N37" s="161"/>
      <c r="O37" s="161"/>
      <c r="P37" s="161"/>
      <c r="Q37" s="161"/>
      <c r="R37" s="161"/>
      <c r="S37" s="161"/>
      <c r="T37" s="161"/>
      <c r="U37" s="161"/>
      <c r="V37" s="161"/>
      <c r="W37" s="161"/>
      <c r="X37" s="161"/>
      <c r="Y37" s="161"/>
      <c r="Z37" s="161"/>
      <c r="AA37" s="161"/>
      <c r="AB37" s="161"/>
      <c r="AC37" s="161"/>
      <c r="AD37" s="161"/>
      <c r="AE37" s="161"/>
      <c r="AF37" s="53">
        <f>COUNTIF(Conformation!$F56,"Vet 8-10")</f>
        <v>0</v>
      </c>
      <c r="AG37" s="53">
        <f>COUNTIF(Conformation!$F56,"Vet 10-12")</f>
        <v>0</v>
      </c>
      <c r="AH37" s="53">
        <f>COUNTIF(Conformation!$F56,"Vet 12+")</f>
        <v>0</v>
      </c>
      <c r="AI37" s="53">
        <v>0</v>
      </c>
      <c r="AJ37" s="161"/>
      <c r="AK37" s="53">
        <f>COUNTIF(Conformation!$L56,"WD")</f>
        <v>0</v>
      </c>
      <c r="AL37" s="53">
        <f>COUNTIF(Conformation!$L56,"WB")</f>
        <v>0</v>
      </c>
      <c r="AM37" s="53">
        <f t="shared" si="0"/>
        <v>0</v>
      </c>
    </row>
    <row r="38" spans="1:39" x14ac:dyDescent="0.6">
      <c r="A38" s="201"/>
      <c r="B38" s="2"/>
      <c r="C38" s="161"/>
      <c r="D38" s="161"/>
      <c r="E38" s="161"/>
      <c r="F38" s="161"/>
      <c r="G38" s="161"/>
      <c r="H38" s="161"/>
      <c r="I38" s="161"/>
      <c r="J38" s="161"/>
      <c r="K38" s="161"/>
      <c r="L38" s="161"/>
      <c r="M38" s="161"/>
      <c r="N38" s="161"/>
      <c r="O38" s="161"/>
      <c r="P38" s="161"/>
      <c r="Q38" s="161"/>
      <c r="R38" s="161"/>
      <c r="S38" s="161"/>
      <c r="T38" s="161"/>
      <c r="U38" s="161"/>
      <c r="V38" s="161"/>
      <c r="W38" s="161"/>
      <c r="X38" s="161"/>
      <c r="Y38" s="161"/>
      <c r="Z38" s="161"/>
      <c r="AA38" s="161"/>
      <c r="AB38" s="161"/>
      <c r="AC38" s="161"/>
      <c r="AD38" s="161"/>
      <c r="AE38" s="161"/>
      <c r="AF38" s="202"/>
      <c r="AJ38" s="161"/>
    </row>
    <row r="39" spans="1:39" x14ac:dyDescent="0.6">
      <c r="A39" s="198"/>
      <c r="C39" s="161"/>
    </row>
    <row r="40" spans="1:39" x14ac:dyDescent="0.6">
      <c r="A40" s="198"/>
      <c r="C40" s="161"/>
    </row>
    <row r="42" spans="1:39" x14ac:dyDescent="0.6">
      <c r="A42" s="756"/>
      <c r="B42" s="756"/>
      <c r="C42" s="756"/>
      <c r="D42" s="756"/>
    </row>
    <row r="43" spans="1:39" x14ac:dyDescent="0.6">
      <c r="A43" s="755"/>
      <c r="B43" s="756"/>
      <c r="C43" s="161"/>
      <c r="D43" s="161"/>
      <c r="E43" s="161"/>
      <c r="F43" s="161"/>
      <c r="G43" s="161"/>
      <c r="H43" s="161"/>
      <c r="I43" s="161"/>
      <c r="J43" s="161"/>
      <c r="K43" s="161"/>
      <c r="L43" s="161"/>
      <c r="M43" s="161"/>
      <c r="N43" s="161"/>
      <c r="O43" s="161"/>
      <c r="P43" s="161"/>
      <c r="Q43" s="161"/>
      <c r="R43" s="161"/>
      <c r="S43" s="161"/>
      <c r="T43" s="161"/>
      <c r="U43" s="161"/>
      <c r="V43" s="161"/>
      <c r="W43" s="161"/>
      <c r="X43" s="161"/>
      <c r="Y43" s="161"/>
      <c r="Z43" s="161"/>
      <c r="AA43" s="161"/>
      <c r="AB43" s="161"/>
      <c r="AC43" s="161"/>
      <c r="AD43" s="161"/>
      <c r="AE43" s="161"/>
      <c r="AJ43" s="161"/>
    </row>
    <row r="44" spans="1:39" x14ac:dyDescent="0.6">
      <c r="A44" s="755"/>
      <c r="B44" s="756"/>
      <c r="C44" s="161"/>
      <c r="D44" s="161"/>
      <c r="E44" s="161"/>
      <c r="F44" s="161"/>
      <c r="G44" s="161"/>
      <c r="H44" s="161"/>
      <c r="I44" s="161"/>
      <c r="J44" s="161"/>
      <c r="K44" s="161"/>
      <c r="L44" s="161"/>
      <c r="M44" s="161"/>
      <c r="N44" s="161"/>
      <c r="O44" s="161"/>
      <c r="P44" s="161"/>
      <c r="Q44" s="161"/>
      <c r="R44" s="161"/>
      <c r="S44" s="161"/>
      <c r="T44" s="161"/>
      <c r="U44" s="161"/>
      <c r="V44" s="161"/>
      <c r="W44" s="161"/>
      <c r="X44" s="161"/>
      <c r="Y44" s="161"/>
      <c r="Z44" s="161"/>
      <c r="AA44" s="161"/>
      <c r="AB44" s="161"/>
      <c r="AC44" s="161"/>
      <c r="AD44" s="161"/>
      <c r="AE44" s="161"/>
      <c r="AJ44" s="161"/>
    </row>
    <row r="45" spans="1:39" x14ac:dyDescent="0.6">
      <c r="A45" s="755"/>
      <c r="B45" s="756"/>
      <c r="C45" s="161"/>
      <c r="D45" s="161"/>
      <c r="E45" s="161"/>
      <c r="F45" s="161"/>
      <c r="G45" s="161"/>
      <c r="H45" s="161"/>
      <c r="I45" s="161"/>
      <c r="J45" s="161"/>
      <c r="K45" s="161"/>
      <c r="L45" s="161"/>
      <c r="M45" s="161"/>
      <c r="N45" s="161"/>
      <c r="O45" s="161"/>
      <c r="P45" s="161"/>
      <c r="Q45" s="161"/>
      <c r="R45" s="161"/>
      <c r="S45" s="161"/>
      <c r="T45" s="161"/>
      <c r="U45" s="161"/>
      <c r="V45" s="161"/>
      <c r="W45" s="161"/>
      <c r="X45" s="161"/>
      <c r="Y45" s="161"/>
      <c r="Z45" s="161"/>
      <c r="AA45" s="161"/>
      <c r="AB45" s="161"/>
      <c r="AC45" s="161"/>
      <c r="AD45" s="161"/>
      <c r="AE45" s="161"/>
      <c r="AJ45" s="161"/>
    </row>
    <row r="46" spans="1:39" x14ac:dyDescent="0.6">
      <c r="A46" s="755"/>
      <c r="B46" s="756"/>
      <c r="C46" s="161"/>
      <c r="D46" s="161"/>
      <c r="E46" s="161"/>
      <c r="F46" s="161"/>
      <c r="G46" s="161"/>
      <c r="H46" s="161"/>
      <c r="I46" s="161"/>
      <c r="J46" s="161"/>
      <c r="K46" s="161"/>
      <c r="L46" s="161"/>
      <c r="M46" s="161"/>
      <c r="N46" s="161"/>
      <c r="O46" s="161"/>
      <c r="P46" s="161"/>
      <c r="Q46" s="161"/>
      <c r="R46" s="161"/>
      <c r="S46" s="161"/>
      <c r="T46" s="161"/>
      <c r="U46" s="161"/>
      <c r="V46" s="161"/>
      <c r="W46" s="161"/>
      <c r="X46" s="161"/>
      <c r="Y46" s="161"/>
      <c r="Z46" s="161"/>
      <c r="AA46" s="161"/>
      <c r="AB46" s="161"/>
      <c r="AC46" s="161"/>
      <c r="AD46" s="161"/>
      <c r="AE46" s="161"/>
      <c r="AJ46" s="161"/>
    </row>
  </sheetData>
  <sheetProtection algorithmName="SHA-512" hashValue="kQXvXrf7dV+n7UlEvp5UO1M5olwab/kSjHhUAh1RfPKZ9D2HPWn7SzXPinfaK7jVpfwCGKO9tTu93w7g9O9wAA==" saltValue="CPJ/47AhTFCkpjs0xLXbrg==" spinCount="100000" sheet="1" objects="1" scenarios="1"/>
  <mergeCells count="169">
    <mergeCell ref="AA13:AD13"/>
    <mergeCell ref="AA14:AB14"/>
    <mergeCell ref="AC14:AD14"/>
    <mergeCell ref="AA15:AB15"/>
    <mergeCell ref="AC15:AD15"/>
    <mergeCell ref="V19:W19"/>
    <mergeCell ref="AA1:AD2"/>
    <mergeCell ref="AA3:AB4"/>
    <mergeCell ref="AC3:AD4"/>
    <mergeCell ref="AA5:AB6"/>
    <mergeCell ref="AC5:AD6"/>
    <mergeCell ref="AA7:AB8"/>
    <mergeCell ref="AC7:AD8"/>
    <mergeCell ref="AA9:AB10"/>
    <mergeCell ref="AC9:AD10"/>
    <mergeCell ref="V14:W14"/>
    <mergeCell ref="V23:W23"/>
    <mergeCell ref="V22:W22"/>
    <mergeCell ref="V20:W20"/>
    <mergeCell ref="S23:U23"/>
    <mergeCell ref="AA18:AB18"/>
    <mergeCell ref="AC18:AD18"/>
    <mergeCell ref="AA19:AB19"/>
    <mergeCell ref="AC19:AD19"/>
    <mergeCell ref="V21:W21"/>
    <mergeCell ref="V18:W18"/>
    <mergeCell ref="AF1:AI1"/>
    <mergeCell ref="AK1:AM1"/>
    <mergeCell ref="AA20:AB20"/>
    <mergeCell ref="AC20:AD20"/>
    <mergeCell ref="AA16:AB16"/>
    <mergeCell ref="AC16:AD16"/>
    <mergeCell ref="AA17:AB17"/>
    <mergeCell ref="AC17:AD17"/>
    <mergeCell ref="S9:U9"/>
    <mergeCell ref="S6:U6"/>
    <mergeCell ref="S1:Y1"/>
    <mergeCell ref="S3:U3"/>
    <mergeCell ref="V6:W6"/>
    <mergeCell ref="X5:Y6"/>
    <mergeCell ref="X3:Y4"/>
    <mergeCell ref="S2:U2"/>
    <mergeCell ref="V2:W2"/>
    <mergeCell ref="V4:W4"/>
    <mergeCell ref="S4:U4"/>
    <mergeCell ref="S5:U5"/>
    <mergeCell ref="S19:U19"/>
    <mergeCell ref="X10:Y11"/>
    <mergeCell ref="X7:Y9"/>
    <mergeCell ref="S20:U20"/>
    <mergeCell ref="D2:E2"/>
    <mergeCell ref="H3:I3"/>
    <mergeCell ref="D5:E5"/>
    <mergeCell ref="K8:M8"/>
    <mergeCell ref="K11:M11"/>
    <mergeCell ref="S11:U11"/>
    <mergeCell ref="S12:U12"/>
    <mergeCell ref="S18:U18"/>
    <mergeCell ref="S17:U17"/>
    <mergeCell ref="S15:U15"/>
    <mergeCell ref="S16:U16"/>
    <mergeCell ref="N4:O4"/>
    <mergeCell ref="P3:Q4"/>
    <mergeCell ref="P5:Q6"/>
    <mergeCell ref="P7:Q8"/>
    <mergeCell ref="N6:O6"/>
    <mergeCell ref="J15:K15"/>
    <mergeCell ref="K4:M4"/>
    <mergeCell ref="K5:M5"/>
    <mergeCell ref="K6:M6"/>
    <mergeCell ref="N7:O7"/>
    <mergeCell ref="P17:Q17"/>
    <mergeCell ref="N11:O11"/>
    <mergeCell ref="D8:E8"/>
    <mergeCell ref="D6:E6"/>
    <mergeCell ref="A8:B8"/>
    <mergeCell ref="K1:Q1"/>
    <mergeCell ref="X2:Y2"/>
    <mergeCell ref="S8:U8"/>
    <mergeCell ref="V3:W3"/>
    <mergeCell ref="V5:W5"/>
    <mergeCell ref="K7:M7"/>
    <mergeCell ref="N3:O3"/>
    <mergeCell ref="D3:E3"/>
    <mergeCell ref="D4:E4"/>
    <mergeCell ref="F3:G3"/>
    <mergeCell ref="A7:B7"/>
    <mergeCell ref="F4:G4"/>
    <mergeCell ref="A6:B6"/>
    <mergeCell ref="D7:E7"/>
    <mergeCell ref="A1:I1"/>
    <mergeCell ref="A5:B5"/>
    <mergeCell ref="C3:C4"/>
    <mergeCell ref="C5:C6"/>
    <mergeCell ref="A2:B2"/>
    <mergeCell ref="A3:B3"/>
    <mergeCell ref="A4:B4"/>
    <mergeCell ref="P2:Q2"/>
    <mergeCell ref="F2:I2"/>
    <mergeCell ref="H4:I4"/>
    <mergeCell ref="K2:M2"/>
    <mergeCell ref="N2:O2"/>
    <mergeCell ref="V11:W11"/>
    <mergeCell ref="V10:W10"/>
    <mergeCell ref="V8:W8"/>
    <mergeCell ref="V9:W9"/>
    <mergeCell ref="K10:M10"/>
    <mergeCell ref="N10:O10"/>
    <mergeCell ref="K3:M3"/>
    <mergeCell ref="N5:O5"/>
    <mergeCell ref="N8:O8"/>
    <mergeCell ref="K9:Q9"/>
    <mergeCell ref="S10:U10"/>
    <mergeCell ref="V7:W7"/>
    <mergeCell ref="S7:U7"/>
    <mergeCell ref="P10:Q11"/>
    <mergeCell ref="A9:B9"/>
    <mergeCell ref="D9:E9"/>
    <mergeCell ref="H19:I19"/>
    <mergeCell ref="D15:E15"/>
    <mergeCell ref="V15:W15"/>
    <mergeCell ref="V16:W16"/>
    <mergeCell ref="S14:U14"/>
    <mergeCell ref="H13:K13"/>
    <mergeCell ref="H14:I14"/>
    <mergeCell ref="J14:K14"/>
    <mergeCell ref="P19:R19"/>
    <mergeCell ref="J19:K19"/>
    <mergeCell ref="D16:E16"/>
    <mergeCell ref="D18:E18"/>
    <mergeCell ref="A13:E14"/>
    <mergeCell ref="A15:C15"/>
    <mergeCell ref="A16:C16"/>
    <mergeCell ref="A17:C17"/>
    <mergeCell ref="V12:W12"/>
    <mergeCell ref="S13:U13"/>
    <mergeCell ref="V13:W13"/>
    <mergeCell ref="L12:M12"/>
    <mergeCell ref="V17:W17"/>
    <mergeCell ref="N12:O12"/>
    <mergeCell ref="H25:K25"/>
    <mergeCell ref="H26:K26"/>
    <mergeCell ref="A21:E21"/>
    <mergeCell ref="A44:B44"/>
    <mergeCell ref="A45:B45"/>
    <mergeCell ref="A46:B46"/>
    <mergeCell ref="N17:O17"/>
    <mergeCell ref="A22:E22"/>
    <mergeCell ref="H17:I17"/>
    <mergeCell ref="A42:D42"/>
    <mergeCell ref="A43:B43"/>
    <mergeCell ref="H23:K24"/>
    <mergeCell ref="J20:K20"/>
    <mergeCell ref="D17:E17"/>
    <mergeCell ref="H27:K27"/>
    <mergeCell ref="H29:K29"/>
    <mergeCell ref="H28:K28"/>
    <mergeCell ref="J17:K17"/>
    <mergeCell ref="J18:K18"/>
    <mergeCell ref="P23:R23"/>
    <mergeCell ref="S22:U22"/>
    <mergeCell ref="A20:F20"/>
    <mergeCell ref="H20:I20"/>
    <mergeCell ref="H18:I18"/>
    <mergeCell ref="A18:C18"/>
    <mergeCell ref="H15:I15"/>
    <mergeCell ref="H16:I16"/>
    <mergeCell ref="J16:K16"/>
    <mergeCell ref="S21:U21"/>
  </mergeCells>
  <phoneticPr fontId="2" type="noConversion"/>
  <pageMargins left="0.75" right="0.75" top="1" bottom="1" header="0.5" footer="0.5"/>
  <pageSetup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dimension ref="A1:AK49"/>
  <sheetViews>
    <sheetView workbookViewId="0">
      <selection activeCell="A6" sqref="A6"/>
    </sheetView>
  </sheetViews>
  <sheetFormatPr defaultColWidth="8.76953125" defaultRowHeight="13" x14ac:dyDescent="0.6"/>
  <cols>
    <col min="1" max="1" width="14.1328125" customWidth="1"/>
    <col min="2" max="2" width="9.76953125" customWidth="1"/>
    <col min="3" max="3" width="10.453125" customWidth="1"/>
    <col min="4" max="4" width="10.453125" bestFit="1" customWidth="1"/>
    <col min="5" max="5" width="9.2265625" customWidth="1"/>
    <col min="7" max="7" width="10.08984375" customWidth="1"/>
    <col min="8" max="8" width="7.76953125" bestFit="1" customWidth="1"/>
    <col min="9" max="9" width="6.08984375" bestFit="1" customWidth="1"/>
    <col min="10" max="10" width="5" bestFit="1" customWidth="1"/>
    <col min="11" max="11" width="10" bestFit="1" customWidth="1"/>
    <col min="12" max="12" width="5" bestFit="1" customWidth="1"/>
    <col min="13" max="13" width="10.08984375" bestFit="1" customWidth="1"/>
    <col min="14" max="14" width="14.453125" style="1" customWidth="1"/>
    <col min="15" max="15" width="15.453125" customWidth="1"/>
    <col min="16" max="16" width="6.76953125" bestFit="1" customWidth="1"/>
    <col min="17" max="17" width="11.453125" bestFit="1" customWidth="1"/>
    <col min="18" max="18" width="9.453125" style="1" bestFit="1" customWidth="1"/>
    <col min="19" max="19" width="6.6796875" bestFit="1" customWidth="1"/>
    <col min="20" max="20" width="11" bestFit="1" customWidth="1"/>
    <col min="21" max="21" width="6.08984375" bestFit="1" customWidth="1"/>
    <col min="22" max="22" width="7.453125" customWidth="1"/>
    <col min="23" max="23" width="5.76953125" style="1" customWidth="1"/>
    <col min="24" max="24" width="7.08984375" style="1" customWidth="1"/>
    <col min="25" max="25" width="10" customWidth="1"/>
    <col min="26" max="26" width="6.453125" customWidth="1"/>
    <col min="27" max="27" width="6.6796875" style="1" bestFit="1" customWidth="1"/>
    <col min="28" max="28" width="10.08984375" style="1" bestFit="1" customWidth="1"/>
    <col min="32" max="36" width="9.08984375" style="318"/>
  </cols>
  <sheetData>
    <row r="1" spans="1:37" ht="15.5" x14ac:dyDescent="0.7">
      <c r="A1" s="68" t="s">
        <v>170</v>
      </c>
      <c r="B1" s="68" t="s">
        <v>160</v>
      </c>
      <c r="C1" s="68" t="s">
        <v>145</v>
      </c>
      <c r="D1" s="68" t="s">
        <v>147</v>
      </c>
      <c r="E1" s="68" t="s">
        <v>177</v>
      </c>
      <c r="F1" s="68" t="s">
        <v>183</v>
      </c>
      <c r="G1" s="68" t="s">
        <v>65</v>
      </c>
      <c r="H1" s="68" t="s">
        <v>156</v>
      </c>
      <c r="I1" s="68" t="s">
        <v>157</v>
      </c>
      <c r="J1" s="68" t="s">
        <v>151</v>
      </c>
      <c r="K1" s="68" t="s">
        <v>47</v>
      </c>
      <c r="L1" s="68" t="s">
        <v>4</v>
      </c>
      <c r="M1" s="68" t="s">
        <v>0</v>
      </c>
      <c r="N1" s="68" t="s">
        <v>0</v>
      </c>
      <c r="O1" s="68" t="s">
        <v>0</v>
      </c>
      <c r="P1" s="68" t="s">
        <v>204</v>
      </c>
      <c r="Q1" s="68" t="s">
        <v>205</v>
      </c>
      <c r="R1" s="68" t="s">
        <v>95</v>
      </c>
      <c r="S1" s="68" t="s">
        <v>88</v>
      </c>
      <c r="T1" s="68" t="s">
        <v>89</v>
      </c>
      <c r="U1" s="68" t="s">
        <v>104</v>
      </c>
      <c r="V1" s="68" t="s">
        <v>97</v>
      </c>
      <c r="W1" s="68" t="s">
        <v>198</v>
      </c>
      <c r="X1" s="68" t="s">
        <v>207</v>
      </c>
      <c r="Y1" s="68" t="s">
        <v>65</v>
      </c>
      <c r="Z1" s="68" t="s">
        <v>4</v>
      </c>
      <c r="AA1" s="68" t="s">
        <v>15</v>
      </c>
      <c r="AB1" s="69" t="s">
        <v>214</v>
      </c>
      <c r="AC1" s="68" t="s">
        <v>315</v>
      </c>
      <c r="AD1" s="149">
        <v>1</v>
      </c>
      <c r="AE1" s="149">
        <v>1</v>
      </c>
      <c r="AF1" s="318" t="s">
        <v>606</v>
      </c>
      <c r="AG1" s="318" t="s">
        <v>527</v>
      </c>
      <c r="AH1" s="318" t="s">
        <v>617</v>
      </c>
      <c r="AI1" s="318" t="s">
        <v>664</v>
      </c>
      <c r="AJ1" s="318" t="s">
        <v>671</v>
      </c>
      <c r="AK1" s="318" t="s">
        <v>820</v>
      </c>
    </row>
    <row r="2" spans="1:37" ht="15.5" x14ac:dyDescent="0.7">
      <c r="A2" s="70" t="s">
        <v>310</v>
      </c>
      <c r="B2" s="68" t="s">
        <v>159</v>
      </c>
      <c r="C2" s="68" t="s">
        <v>813</v>
      </c>
      <c r="D2" s="68" t="s">
        <v>146</v>
      </c>
      <c r="E2" s="68" t="s">
        <v>178</v>
      </c>
      <c r="F2" s="68" t="s">
        <v>184</v>
      </c>
      <c r="G2" s="68" t="s">
        <v>64</v>
      </c>
      <c r="H2" s="68" t="s">
        <v>173</v>
      </c>
      <c r="I2" s="68" t="s">
        <v>221</v>
      </c>
      <c r="J2" s="68" t="s">
        <v>158</v>
      </c>
      <c r="K2" s="68" t="s">
        <v>48</v>
      </c>
      <c r="L2" s="68" t="s">
        <v>5</v>
      </c>
      <c r="M2" s="68" t="s">
        <v>1</v>
      </c>
      <c r="N2" s="68" t="s">
        <v>1</v>
      </c>
      <c r="O2" s="68" t="s">
        <v>816</v>
      </c>
      <c r="P2" s="68" t="s">
        <v>96</v>
      </c>
      <c r="Q2" s="68" t="s">
        <v>206</v>
      </c>
      <c r="R2" s="68" t="s">
        <v>189</v>
      </c>
      <c r="S2" s="70"/>
      <c r="T2" s="70" t="s">
        <v>311</v>
      </c>
      <c r="U2" s="70"/>
      <c r="V2" s="70" t="s">
        <v>392</v>
      </c>
      <c r="W2" s="70" t="s">
        <v>199</v>
      </c>
      <c r="X2" s="70" t="s">
        <v>112</v>
      </c>
      <c r="Y2" s="68" t="s">
        <v>64</v>
      </c>
      <c r="Z2" s="68" t="s">
        <v>5</v>
      </c>
      <c r="AA2" s="70" t="s">
        <v>16</v>
      </c>
      <c r="AB2" s="70" t="s">
        <v>215</v>
      </c>
      <c r="AC2" s="70" t="s">
        <v>317</v>
      </c>
      <c r="AD2" s="149">
        <v>2</v>
      </c>
      <c r="AE2" s="149">
        <v>2</v>
      </c>
      <c r="AF2" s="70" t="s">
        <v>607</v>
      </c>
      <c r="AG2" s="70" t="s">
        <v>528</v>
      </c>
      <c r="AI2" s="318" t="s">
        <v>665</v>
      </c>
      <c r="AJ2" s="318" t="s">
        <v>672</v>
      </c>
      <c r="AK2" s="318" t="s">
        <v>821</v>
      </c>
    </row>
    <row r="3" spans="1:37" ht="15.5" x14ac:dyDescent="0.7">
      <c r="A3" s="70" t="s">
        <v>601</v>
      </c>
      <c r="B3" s="68" t="s">
        <v>161</v>
      </c>
      <c r="C3" s="68" t="s">
        <v>167</v>
      </c>
      <c r="D3" s="149" t="s">
        <v>548</v>
      </c>
      <c r="E3" s="68" t="s">
        <v>179</v>
      </c>
      <c r="F3" s="68" t="s">
        <v>185</v>
      </c>
      <c r="G3" s="68" t="s">
        <v>63</v>
      </c>
      <c r="H3" s="68" t="s">
        <v>174</v>
      </c>
      <c r="I3" s="68" t="s">
        <v>222</v>
      </c>
      <c r="J3" s="70"/>
      <c r="K3" s="68" t="s">
        <v>211</v>
      </c>
      <c r="L3" s="68" t="s">
        <v>6</v>
      </c>
      <c r="M3" s="68" t="s">
        <v>46</v>
      </c>
      <c r="N3" s="70" t="s">
        <v>38</v>
      </c>
      <c r="O3" s="68" t="s">
        <v>2</v>
      </c>
      <c r="P3" s="70"/>
      <c r="Q3" s="70" t="s">
        <v>420</v>
      </c>
      <c r="R3" s="70" t="s">
        <v>256</v>
      </c>
      <c r="S3" s="70"/>
      <c r="T3" s="70" t="s">
        <v>312</v>
      </c>
      <c r="U3" s="70"/>
      <c r="V3" s="70"/>
      <c r="W3" s="70"/>
      <c r="X3" s="70"/>
      <c r="Y3" s="68" t="s">
        <v>208</v>
      </c>
      <c r="Z3" s="68" t="s">
        <v>6</v>
      </c>
      <c r="AA3" s="70" t="s">
        <v>314</v>
      </c>
      <c r="AB3" s="70" t="s">
        <v>216</v>
      </c>
      <c r="AC3" s="70" t="s">
        <v>319</v>
      </c>
      <c r="AD3" s="149">
        <v>3</v>
      </c>
      <c r="AE3" s="149">
        <v>3</v>
      </c>
      <c r="AF3" s="70" t="s">
        <v>608</v>
      </c>
      <c r="AG3" s="70" t="s">
        <v>610</v>
      </c>
      <c r="AI3" s="318" t="s">
        <v>666</v>
      </c>
      <c r="AJ3" s="318" t="s">
        <v>673</v>
      </c>
      <c r="AK3" s="318" t="s">
        <v>822</v>
      </c>
    </row>
    <row r="4" spans="1:37" ht="15.5" x14ac:dyDescent="0.7">
      <c r="A4" s="70" t="s">
        <v>602</v>
      </c>
      <c r="B4" s="68" t="s">
        <v>162</v>
      </c>
      <c r="C4" s="68" t="s">
        <v>168</v>
      </c>
      <c r="D4" s="68" t="s">
        <v>148</v>
      </c>
      <c r="E4" s="68" t="s">
        <v>180</v>
      </c>
      <c r="F4" s="68" t="s">
        <v>186</v>
      </c>
      <c r="G4" s="68" t="s">
        <v>529</v>
      </c>
      <c r="H4" s="68" t="s">
        <v>175</v>
      </c>
      <c r="I4" s="68"/>
      <c r="J4" s="70"/>
      <c r="K4" s="68" t="s">
        <v>1</v>
      </c>
      <c r="L4" s="68" t="s">
        <v>7</v>
      </c>
      <c r="M4" s="68" t="s">
        <v>3</v>
      </c>
      <c r="N4" s="157" t="s">
        <v>326</v>
      </c>
      <c r="O4" s="68" t="s">
        <v>46</v>
      </c>
      <c r="P4" s="70"/>
      <c r="Q4" s="70"/>
      <c r="R4" s="70" t="s">
        <v>880</v>
      </c>
      <c r="S4" s="70"/>
      <c r="T4" s="70" t="s">
        <v>50</v>
      </c>
      <c r="U4" s="70"/>
      <c r="V4" s="70"/>
      <c r="W4" s="70"/>
      <c r="X4" s="70"/>
      <c r="Y4" s="68" t="s">
        <v>209</v>
      </c>
      <c r="Z4" s="68" t="s">
        <v>7</v>
      </c>
      <c r="AA4" s="70" t="s">
        <v>544</v>
      </c>
      <c r="AB4" s="70" t="s">
        <v>217</v>
      </c>
      <c r="AC4" s="70" t="s">
        <v>321</v>
      </c>
      <c r="AD4" s="149">
        <v>4</v>
      </c>
      <c r="AE4" s="149">
        <v>4</v>
      </c>
      <c r="AF4" s="70" t="s">
        <v>609</v>
      </c>
      <c r="AI4" s="318" t="s">
        <v>667</v>
      </c>
      <c r="AJ4" s="318" t="s">
        <v>674</v>
      </c>
      <c r="AK4" s="318" t="s">
        <v>823</v>
      </c>
    </row>
    <row r="5" spans="1:37" ht="15.5" x14ac:dyDescent="0.7">
      <c r="A5" s="70" t="s">
        <v>603</v>
      </c>
      <c r="B5" s="68" t="s">
        <v>43</v>
      </c>
      <c r="C5" s="68" t="s">
        <v>169</v>
      </c>
      <c r="D5" s="68" t="s">
        <v>149</v>
      </c>
      <c r="E5" s="68" t="s">
        <v>515</v>
      </c>
      <c r="F5" s="68" t="s">
        <v>521</v>
      </c>
      <c r="G5" s="68" t="s">
        <v>171</v>
      </c>
      <c r="H5" s="68" t="s">
        <v>176</v>
      </c>
      <c r="I5" s="68"/>
      <c r="J5" s="70"/>
      <c r="K5" s="70"/>
      <c r="L5" s="70"/>
      <c r="M5" s="70" t="s">
        <v>544</v>
      </c>
      <c r="N5" s="157" t="s">
        <v>327</v>
      </c>
      <c r="O5" s="70" t="s">
        <v>53</v>
      </c>
      <c r="P5" s="70"/>
      <c r="Q5" s="70"/>
      <c r="R5" s="70"/>
      <c r="S5" s="70"/>
      <c r="T5" s="70"/>
      <c r="U5" s="70"/>
      <c r="V5" s="70"/>
      <c r="W5" s="70"/>
      <c r="X5" s="70"/>
      <c r="Y5" s="68" t="s">
        <v>210</v>
      </c>
      <c r="Z5" s="68" t="s">
        <v>50</v>
      </c>
      <c r="AA5" s="70"/>
      <c r="AB5" s="149" t="s">
        <v>298</v>
      </c>
      <c r="AC5" s="70" t="s">
        <v>532</v>
      </c>
      <c r="AD5" s="149">
        <v>5</v>
      </c>
      <c r="AE5" s="149">
        <v>5</v>
      </c>
      <c r="AI5" s="318" t="s">
        <v>668</v>
      </c>
      <c r="AJ5" s="318" t="s">
        <v>675</v>
      </c>
      <c r="AK5" s="318" t="s">
        <v>824</v>
      </c>
    </row>
    <row r="6" spans="1:37" ht="15.5" x14ac:dyDescent="0.7">
      <c r="A6" s="70" t="s">
        <v>604</v>
      </c>
      <c r="B6" s="70" t="s">
        <v>323</v>
      </c>
      <c r="C6" s="70" t="s">
        <v>562</v>
      </c>
      <c r="D6" s="68" t="s">
        <v>150</v>
      </c>
      <c r="E6" s="68" t="s">
        <v>516</v>
      </c>
      <c r="F6" s="68" t="s">
        <v>526</v>
      </c>
      <c r="G6" s="70" t="s">
        <v>530</v>
      </c>
      <c r="H6" s="70"/>
      <c r="I6" s="70"/>
      <c r="J6" s="70"/>
      <c r="K6" s="70"/>
      <c r="L6" s="70"/>
      <c r="M6" s="70" t="s">
        <v>869</v>
      </c>
      <c r="N6" s="157" t="s">
        <v>328</v>
      </c>
      <c r="O6" s="70"/>
      <c r="P6" s="70"/>
      <c r="Q6" s="70"/>
      <c r="R6" s="70"/>
      <c r="S6" s="70"/>
      <c r="T6" s="68"/>
      <c r="U6" s="70"/>
      <c r="V6" s="70"/>
      <c r="W6" s="70"/>
      <c r="X6" s="70"/>
      <c r="Y6" s="70"/>
      <c r="Z6" s="70"/>
      <c r="AA6" s="70"/>
      <c r="AB6" s="70" t="s">
        <v>0</v>
      </c>
      <c r="AC6" s="70" t="s">
        <v>539</v>
      </c>
      <c r="AD6" s="149">
        <v>6</v>
      </c>
      <c r="AE6" s="149">
        <v>6</v>
      </c>
      <c r="AI6" s="318" t="s">
        <v>669</v>
      </c>
      <c r="AJ6" s="318" t="s">
        <v>676</v>
      </c>
      <c r="AK6" s="318" t="s">
        <v>825</v>
      </c>
    </row>
    <row r="7" spans="1:37" ht="15.5" x14ac:dyDescent="0.7">
      <c r="A7" s="70" t="s">
        <v>882</v>
      </c>
      <c r="B7" s="70" t="s">
        <v>324</v>
      </c>
      <c r="C7" s="70" t="s">
        <v>769</v>
      </c>
      <c r="D7" s="70"/>
      <c r="E7" s="68" t="s">
        <v>517</v>
      </c>
      <c r="F7" s="68" t="s">
        <v>522</v>
      </c>
      <c r="G7" s="68" t="s">
        <v>172</v>
      </c>
      <c r="H7" s="70"/>
      <c r="I7" s="70"/>
      <c r="J7" s="70"/>
      <c r="K7" s="70"/>
      <c r="L7" s="70"/>
      <c r="M7" s="70"/>
      <c r="N7" s="157" t="s">
        <v>335</v>
      </c>
      <c r="O7" s="70"/>
      <c r="P7" s="70"/>
      <c r="Q7" s="70"/>
      <c r="R7" s="70"/>
      <c r="S7" s="70"/>
      <c r="T7" s="70"/>
      <c r="U7" s="70"/>
      <c r="V7" s="70"/>
      <c r="W7" s="70"/>
      <c r="X7" s="70"/>
      <c r="Y7" s="70"/>
      <c r="Z7" s="70"/>
      <c r="AA7" s="70"/>
      <c r="AB7" s="70" t="s">
        <v>48</v>
      </c>
      <c r="AC7" s="70" t="s">
        <v>533</v>
      </c>
      <c r="AD7" s="149">
        <v>7</v>
      </c>
      <c r="AE7" s="149">
        <v>7</v>
      </c>
      <c r="AI7" s="318" t="s">
        <v>670</v>
      </c>
      <c r="AJ7" s="318" t="s">
        <v>677</v>
      </c>
      <c r="AK7" s="318" t="s">
        <v>826</v>
      </c>
    </row>
    <row r="8" spans="1:37" ht="15.5" x14ac:dyDescent="0.7">
      <c r="A8" s="70"/>
      <c r="B8" s="70" t="s">
        <v>325</v>
      </c>
      <c r="C8" s="70" t="s">
        <v>770</v>
      </c>
      <c r="D8" s="70"/>
      <c r="E8" s="68" t="s">
        <v>518</v>
      </c>
      <c r="F8" s="68" t="s">
        <v>523</v>
      </c>
      <c r="G8" s="70" t="s">
        <v>531</v>
      </c>
      <c r="H8" s="70"/>
      <c r="I8" s="70"/>
      <c r="J8" s="70"/>
      <c r="K8" s="70"/>
      <c r="L8" s="70"/>
      <c r="M8" s="70"/>
      <c r="N8" s="70" t="s">
        <v>416</v>
      </c>
      <c r="O8" s="70"/>
      <c r="P8" s="70"/>
      <c r="Q8" s="70"/>
      <c r="R8" s="70"/>
      <c r="S8" s="70"/>
      <c r="T8" s="70"/>
      <c r="U8" s="70"/>
      <c r="V8" s="70"/>
      <c r="W8" s="70"/>
      <c r="X8" s="70"/>
      <c r="Y8" s="70"/>
      <c r="Z8" s="70"/>
      <c r="AA8" s="70"/>
      <c r="AB8" s="70" t="s">
        <v>219</v>
      </c>
      <c r="AC8" s="70" t="s">
        <v>534</v>
      </c>
      <c r="AD8" s="149">
        <v>8</v>
      </c>
      <c r="AE8" s="149">
        <v>8</v>
      </c>
      <c r="AJ8" s="318" t="s">
        <v>678</v>
      </c>
      <c r="AK8" s="318" t="s">
        <v>827</v>
      </c>
    </row>
    <row r="9" spans="1:37" ht="15.5" x14ac:dyDescent="0.7">
      <c r="A9" s="70"/>
      <c r="B9" s="70" t="s">
        <v>411</v>
      </c>
      <c r="C9" s="70" t="s">
        <v>771</v>
      </c>
      <c r="D9" s="70"/>
      <c r="E9" s="68" t="s">
        <v>152</v>
      </c>
      <c r="F9" s="68" t="s">
        <v>153</v>
      </c>
      <c r="G9" s="70" t="s">
        <v>540</v>
      </c>
      <c r="H9" s="70"/>
      <c r="I9" s="70"/>
      <c r="J9" s="70"/>
      <c r="K9" s="70"/>
      <c r="L9" s="70"/>
      <c r="M9" s="70"/>
      <c r="N9" s="70" t="s">
        <v>417</v>
      </c>
      <c r="O9" s="70"/>
      <c r="P9" s="70"/>
      <c r="Q9" s="70"/>
      <c r="R9" s="70"/>
      <c r="S9" s="70"/>
      <c r="T9" s="70"/>
      <c r="U9" s="70"/>
      <c r="V9" s="70"/>
      <c r="W9" s="70"/>
      <c r="X9" s="70"/>
      <c r="Y9" s="70"/>
      <c r="Z9" s="70"/>
      <c r="AA9" s="70"/>
      <c r="AB9" s="70" t="s">
        <v>218</v>
      </c>
      <c r="AC9" s="70" t="s">
        <v>316</v>
      </c>
      <c r="AD9" s="149">
        <v>9</v>
      </c>
      <c r="AE9" s="149">
        <v>9</v>
      </c>
      <c r="AJ9" s="318" t="s">
        <v>679</v>
      </c>
      <c r="AK9" s="318" t="s">
        <v>828</v>
      </c>
    </row>
    <row r="10" spans="1:37" ht="15.5" x14ac:dyDescent="0.7">
      <c r="A10" s="70"/>
      <c r="B10" s="70" t="s">
        <v>416</v>
      </c>
      <c r="C10" s="70" t="s">
        <v>772</v>
      </c>
      <c r="D10" s="70"/>
      <c r="E10" s="68" t="s">
        <v>154</v>
      </c>
      <c r="F10" s="68" t="s">
        <v>155</v>
      </c>
      <c r="G10" s="70" t="s">
        <v>550</v>
      </c>
      <c r="H10" s="70"/>
      <c r="I10" s="70"/>
      <c r="J10" s="70"/>
      <c r="K10" s="70"/>
      <c r="L10" s="70"/>
      <c r="M10" s="70"/>
      <c r="N10" s="70" t="s">
        <v>418</v>
      </c>
      <c r="O10" s="70"/>
      <c r="P10" s="70"/>
      <c r="Q10" s="70"/>
      <c r="R10" s="70"/>
      <c r="S10" s="70"/>
      <c r="T10" s="70"/>
      <c r="U10" s="70"/>
      <c r="V10" s="70"/>
      <c r="W10" s="70"/>
      <c r="X10" s="70"/>
      <c r="Y10" s="70"/>
      <c r="Z10" s="70"/>
      <c r="AA10" s="70"/>
      <c r="AB10" s="70" t="s">
        <v>1</v>
      </c>
      <c r="AC10" s="70" t="s">
        <v>318</v>
      </c>
      <c r="AD10" s="149">
        <v>10</v>
      </c>
      <c r="AE10" s="149">
        <v>10</v>
      </c>
      <c r="AJ10" s="318" t="s">
        <v>680</v>
      </c>
      <c r="AK10" s="318" t="s">
        <v>829</v>
      </c>
    </row>
    <row r="11" spans="1:37" ht="15.5" x14ac:dyDescent="0.7">
      <c r="A11" s="67"/>
      <c r="B11" s="70" t="s">
        <v>633</v>
      </c>
      <c r="C11" s="70" t="s">
        <v>773</v>
      </c>
      <c r="D11" s="67"/>
      <c r="E11" s="68" t="s">
        <v>181</v>
      </c>
      <c r="F11" s="68" t="s">
        <v>187</v>
      </c>
      <c r="G11" s="70" t="s">
        <v>551</v>
      </c>
      <c r="H11" s="67"/>
      <c r="I11" s="67"/>
      <c r="J11" s="67"/>
      <c r="K11" s="67"/>
      <c r="L11" s="67"/>
      <c r="M11" s="67"/>
      <c r="N11" s="70" t="s">
        <v>627</v>
      </c>
      <c r="O11" s="67"/>
      <c r="P11" s="67"/>
      <c r="Q11" s="67"/>
      <c r="R11" s="67"/>
      <c r="S11" s="67"/>
      <c r="T11" s="67"/>
      <c r="U11" s="67"/>
      <c r="V11" s="67"/>
      <c r="W11" s="67"/>
      <c r="X11" s="67"/>
      <c r="Y11" s="67"/>
      <c r="Z11" s="67"/>
      <c r="AA11" s="67"/>
      <c r="AB11" s="70" t="s">
        <v>220</v>
      </c>
      <c r="AC11" s="70" t="s">
        <v>320</v>
      </c>
      <c r="AD11" s="149">
        <v>11</v>
      </c>
      <c r="AE11" s="149">
        <v>11</v>
      </c>
      <c r="AJ11" s="318" t="s">
        <v>681</v>
      </c>
      <c r="AK11" s="318" t="s">
        <v>830</v>
      </c>
    </row>
    <row r="12" spans="1:37" ht="15.5" x14ac:dyDescent="0.7">
      <c r="B12" s="70" t="s">
        <v>634</v>
      </c>
      <c r="C12" s="70" t="s">
        <v>774</v>
      </c>
      <c r="E12" s="68" t="s">
        <v>182</v>
      </c>
      <c r="F12" s="68" t="s">
        <v>188</v>
      </c>
      <c r="G12" s="70" t="s">
        <v>552</v>
      </c>
      <c r="N12" s="149" t="s">
        <v>628</v>
      </c>
      <c r="AB12" s="154" t="s">
        <v>306</v>
      </c>
      <c r="AC12" s="70" t="s">
        <v>322</v>
      </c>
      <c r="AD12" s="149">
        <v>12</v>
      </c>
      <c r="AE12" s="149">
        <v>12</v>
      </c>
      <c r="AJ12" s="318" t="s">
        <v>682</v>
      </c>
      <c r="AK12" s="318" t="s">
        <v>831</v>
      </c>
    </row>
    <row r="13" spans="1:37" ht="15.5" x14ac:dyDescent="0.7">
      <c r="B13" s="70" t="s">
        <v>635</v>
      </c>
      <c r="C13" s="70" t="s">
        <v>775</v>
      </c>
      <c r="E13" s="70" t="s">
        <v>581</v>
      </c>
      <c r="F13" s="70" t="s">
        <v>576</v>
      </c>
      <c r="G13" s="70" t="s">
        <v>553</v>
      </c>
      <c r="N13" s="149" t="s">
        <v>629</v>
      </c>
      <c r="AB13" s="154" t="s">
        <v>307</v>
      </c>
      <c r="AC13" s="70" t="s">
        <v>535</v>
      </c>
      <c r="AJ13" s="318" t="s">
        <v>683</v>
      </c>
      <c r="AK13" s="318" t="s">
        <v>832</v>
      </c>
    </row>
    <row r="14" spans="1:37" ht="15.5" x14ac:dyDescent="0.6">
      <c r="B14" s="70" t="s">
        <v>636</v>
      </c>
      <c r="C14" s="70" t="s">
        <v>776</v>
      </c>
      <c r="E14" s="68" t="s">
        <v>582</v>
      </c>
      <c r="F14" s="68" t="s">
        <v>577</v>
      </c>
      <c r="G14" s="70" t="s">
        <v>555</v>
      </c>
      <c r="N14" s="298" t="s">
        <v>630</v>
      </c>
      <c r="AB14" s="154" t="s">
        <v>308</v>
      </c>
      <c r="AC14" s="70" t="s">
        <v>536</v>
      </c>
      <c r="AJ14" s="318" t="s">
        <v>684</v>
      </c>
      <c r="AK14" s="318" t="s">
        <v>833</v>
      </c>
    </row>
    <row r="15" spans="1:37" ht="15.5" x14ac:dyDescent="0.6">
      <c r="B15" s="70" t="s">
        <v>637</v>
      </c>
      <c r="C15" s="70" t="s">
        <v>777</v>
      </c>
      <c r="E15" s="68" t="s">
        <v>583</v>
      </c>
      <c r="F15" s="68" t="s">
        <v>578</v>
      </c>
      <c r="G15" s="70" t="s">
        <v>556</v>
      </c>
      <c r="AB15" s="318" t="s">
        <v>880</v>
      </c>
      <c r="AC15" s="70" t="s">
        <v>537</v>
      </c>
      <c r="AJ15" s="318" t="s">
        <v>685</v>
      </c>
      <c r="AK15" s="318" t="s">
        <v>834</v>
      </c>
    </row>
    <row r="16" spans="1:37" ht="15.5" x14ac:dyDescent="0.6">
      <c r="B16" s="70" t="s">
        <v>638</v>
      </c>
      <c r="C16" s="70" t="s">
        <v>778</v>
      </c>
      <c r="E16" s="68" t="s">
        <v>584</v>
      </c>
      <c r="F16" s="68" t="s">
        <v>579</v>
      </c>
      <c r="G16" s="70" t="s">
        <v>557</v>
      </c>
      <c r="AC16" s="70" t="s">
        <v>538</v>
      </c>
      <c r="AJ16" s="318" t="s">
        <v>686</v>
      </c>
      <c r="AK16" s="318" t="s">
        <v>835</v>
      </c>
    </row>
    <row r="17" spans="2:37" ht="15.5" x14ac:dyDescent="0.6">
      <c r="B17" s="70" t="s">
        <v>639</v>
      </c>
      <c r="C17" s="70" t="s">
        <v>779</v>
      </c>
      <c r="E17" s="68" t="s">
        <v>585</v>
      </c>
      <c r="F17" s="68" t="s">
        <v>580</v>
      </c>
      <c r="G17" s="70" t="s">
        <v>558</v>
      </c>
      <c r="AC17" s="70" t="s">
        <v>352</v>
      </c>
      <c r="AJ17" s="318" t="s">
        <v>687</v>
      </c>
      <c r="AK17" s="318" t="s">
        <v>836</v>
      </c>
    </row>
    <row r="18" spans="2:37" ht="15.5" x14ac:dyDescent="0.6">
      <c r="B18" s="70" t="s">
        <v>640</v>
      </c>
      <c r="C18" s="70" t="s">
        <v>781</v>
      </c>
      <c r="E18" s="70" t="s">
        <v>511</v>
      </c>
      <c r="F18" s="70" t="s">
        <v>513</v>
      </c>
      <c r="G18" s="70" t="s">
        <v>559</v>
      </c>
      <c r="AC18" s="70" t="s">
        <v>353</v>
      </c>
      <c r="AJ18" s="318" t="s">
        <v>688</v>
      </c>
      <c r="AK18" s="318" t="s">
        <v>841</v>
      </c>
    </row>
    <row r="19" spans="2:37" ht="15.5" x14ac:dyDescent="0.6">
      <c r="B19" s="70" t="s">
        <v>641</v>
      </c>
      <c r="C19" s="70" t="s">
        <v>780</v>
      </c>
      <c r="E19" s="68" t="s">
        <v>512</v>
      </c>
      <c r="F19" s="68" t="s">
        <v>514</v>
      </c>
      <c r="G19" s="70" t="s">
        <v>561</v>
      </c>
      <c r="AC19" s="70" t="s">
        <v>544</v>
      </c>
      <c r="AJ19" s="318" t="s">
        <v>689</v>
      </c>
      <c r="AK19" s="318" t="s">
        <v>842</v>
      </c>
    </row>
    <row r="20" spans="2:37" ht="15.5" x14ac:dyDescent="0.6">
      <c r="B20" s="70" t="s">
        <v>417</v>
      </c>
      <c r="C20" s="70" t="s">
        <v>782</v>
      </c>
      <c r="E20" s="68" t="s">
        <v>519</v>
      </c>
      <c r="F20" s="68" t="s">
        <v>524</v>
      </c>
      <c r="G20" s="70" t="s">
        <v>563</v>
      </c>
      <c r="AC20" s="70" t="s">
        <v>545</v>
      </c>
      <c r="AJ20" s="318" t="s">
        <v>690</v>
      </c>
      <c r="AK20" s="318" t="s">
        <v>843</v>
      </c>
    </row>
    <row r="21" spans="2:37" ht="15.5" x14ac:dyDescent="0.6">
      <c r="B21" s="70" t="s">
        <v>418</v>
      </c>
      <c r="C21" s="70" t="s">
        <v>783</v>
      </c>
      <c r="E21" s="68" t="s">
        <v>520</v>
      </c>
      <c r="F21" s="68" t="s">
        <v>525</v>
      </c>
      <c r="G21" s="70" t="s">
        <v>611</v>
      </c>
      <c r="AC21" s="70" t="s">
        <v>546</v>
      </c>
      <c r="AJ21" s="318" t="s">
        <v>691</v>
      </c>
      <c r="AK21" s="318" t="s">
        <v>844</v>
      </c>
    </row>
    <row r="22" spans="2:37" ht="15.5" x14ac:dyDescent="0.6">
      <c r="B22" s="70" t="s">
        <v>527</v>
      </c>
      <c r="C22" s="70" t="s">
        <v>784</v>
      </c>
      <c r="E22" s="68" t="s">
        <v>259</v>
      </c>
      <c r="F22" s="68" t="s">
        <v>259</v>
      </c>
      <c r="G22" s="70" t="s">
        <v>616</v>
      </c>
      <c r="AC22" s="70" t="s">
        <v>547</v>
      </c>
      <c r="AJ22" s="318" t="s">
        <v>692</v>
      </c>
      <c r="AK22" s="318" t="s">
        <v>837</v>
      </c>
    </row>
    <row r="23" spans="2:37" ht="15.5" x14ac:dyDescent="0.6">
      <c r="B23" s="70" t="s">
        <v>528</v>
      </c>
      <c r="C23" s="70" t="s">
        <v>785</v>
      </c>
      <c r="E23" s="170" t="s">
        <v>398</v>
      </c>
      <c r="F23" s="170" t="s">
        <v>398</v>
      </c>
      <c r="G23" s="70" t="s">
        <v>873</v>
      </c>
      <c r="AJ23" s="318" t="s">
        <v>693</v>
      </c>
      <c r="AK23" s="318" t="s">
        <v>838</v>
      </c>
    </row>
    <row r="24" spans="2:37" ht="15.5" x14ac:dyDescent="0.6">
      <c r="B24" s="70" t="s">
        <v>541</v>
      </c>
      <c r="C24" s="70" t="s">
        <v>786</v>
      </c>
      <c r="E24" s="68" t="s">
        <v>9</v>
      </c>
      <c r="F24" s="68" t="s">
        <v>9</v>
      </c>
      <c r="G24" s="70" t="s">
        <v>874</v>
      </c>
      <c r="AJ24" s="318" t="s">
        <v>694</v>
      </c>
      <c r="AK24" s="318" t="s">
        <v>839</v>
      </c>
    </row>
    <row r="25" spans="2:37" ht="15.5" x14ac:dyDescent="0.6">
      <c r="B25" s="70" t="s">
        <v>542</v>
      </c>
      <c r="C25" s="70" t="s">
        <v>787</v>
      </c>
      <c r="E25" s="68" t="s">
        <v>554</v>
      </c>
      <c r="F25" s="68" t="s">
        <v>554</v>
      </c>
      <c r="G25" s="70" t="s">
        <v>875</v>
      </c>
      <c r="AJ25" s="318" t="s">
        <v>695</v>
      </c>
      <c r="AK25" s="318" t="s">
        <v>840</v>
      </c>
    </row>
    <row r="26" spans="2:37" ht="15.5" x14ac:dyDescent="0.6">
      <c r="B26" s="70" t="s">
        <v>543</v>
      </c>
      <c r="C26" s="70" t="s">
        <v>788</v>
      </c>
      <c r="E26" s="68" t="s">
        <v>560</v>
      </c>
      <c r="F26" s="68" t="s">
        <v>560</v>
      </c>
      <c r="G26" s="70" t="s">
        <v>876</v>
      </c>
      <c r="AJ26" s="318" t="s">
        <v>696</v>
      </c>
      <c r="AK26" s="318" t="s">
        <v>845</v>
      </c>
    </row>
    <row r="27" spans="2:37" ht="15.5" x14ac:dyDescent="0.6">
      <c r="B27" s="70" t="s">
        <v>605</v>
      </c>
      <c r="C27" s="70" t="s">
        <v>789</v>
      </c>
      <c r="AJ27" s="318" t="s">
        <v>697</v>
      </c>
      <c r="AK27" s="318" t="s">
        <v>846</v>
      </c>
    </row>
    <row r="28" spans="2:37" ht="15.5" x14ac:dyDescent="0.6">
      <c r="B28" s="70" t="s">
        <v>612</v>
      </c>
      <c r="C28" s="70" t="s">
        <v>803</v>
      </c>
      <c r="F28" s="68"/>
      <c r="AJ28" s="318" t="s">
        <v>698</v>
      </c>
      <c r="AK28" s="318" t="s">
        <v>847</v>
      </c>
    </row>
    <row r="29" spans="2:37" ht="15.5" x14ac:dyDescent="0.6">
      <c r="B29" s="70" t="s">
        <v>613</v>
      </c>
      <c r="C29" s="70" t="s">
        <v>804</v>
      </c>
      <c r="E29" s="70"/>
      <c r="F29" s="70"/>
      <c r="AJ29" s="318" t="s">
        <v>699</v>
      </c>
      <c r="AK29" s="318" t="s">
        <v>848</v>
      </c>
    </row>
    <row r="30" spans="2:37" ht="15.5" x14ac:dyDescent="0.6">
      <c r="B30" s="70" t="s">
        <v>614</v>
      </c>
      <c r="C30" s="70" t="s">
        <v>805</v>
      </c>
      <c r="E30" s="68"/>
      <c r="F30" s="68"/>
      <c r="AJ30" s="318" t="s">
        <v>700</v>
      </c>
      <c r="AK30" s="318" t="s">
        <v>849</v>
      </c>
    </row>
    <row r="31" spans="2:37" ht="15.5" x14ac:dyDescent="0.6">
      <c r="B31" s="70" t="s">
        <v>615</v>
      </c>
      <c r="C31" s="70" t="s">
        <v>806</v>
      </c>
      <c r="E31" s="68"/>
      <c r="F31" s="68"/>
      <c r="AJ31" s="318" t="s">
        <v>701</v>
      </c>
      <c r="AK31" s="318" t="s">
        <v>850</v>
      </c>
    </row>
    <row r="32" spans="2:37" ht="15.5" x14ac:dyDescent="0.6">
      <c r="C32" s="70" t="s">
        <v>807</v>
      </c>
      <c r="E32" s="68"/>
      <c r="F32" s="68"/>
      <c r="AJ32" s="318" t="s">
        <v>702</v>
      </c>
      <c r="AK32" s="318" t="s">
        <v>851</v>
      </c>
    </row>
    <row r="33" spans="3:37" ht="15.5" x14ac:dyDescent="0.6">
      <c r="C33" s="70" t="s">
        <v>808</v>
      </c>
      <c r="E33" s="68"/>
      <c r="F33" s="68"/>
      <c r="AJ33" s="318" t="s">
        <v>703</v>
      </c>
      <c r="AK33" s="318" t="s">
        <v>852</v>
      </c>
    </row>
    <row r="34" spans="3:37" ht="15.5" x14ac:dyDescent="0.6">
      <c r="C34" s="70" t="s">
        <v>809</v>
      </c>
      <c r="E34" s="170"/>
      <c r="F34" s="170"/>
      <c r="AJ34" s="318" t="s">
        <v>704</v>
      </c>
      <c r="AK34" s="318" t="s">
        <v>853</v>
      </c>
    </row>
    <row r="35" spans="3:37" ht="15.5" x14ac:dyDescent="0.6">
      <c r="C35" s="70" t="s">
        <v>810</v>
      </c>
      <c r="E35" s="68"/>
      <c r="F35" s="68"/>
      <c r="AJ35" s="318" t="s">
        <v>705</v>
      </c>
      <c r="AK35" s="318" t="s">
        <v>854</v>
      </c>
    </row>
    <row r="36" spans="3:37" ht="15.5" x14ac:dyDescent="0.6">
      <c r="C36" s="70" t="s">
        <v>811</v>
      </c>
      <c r="E36" s="68"/>
      <c r="F36" s="68"/>
      <c r="AJ36" s="318" t="s">
        <v>706</v>
      </c>
      <c r="AK36" s="318" t="s">
        <v>855</v>
      </c>
    </row>
    <row r="37" spans="3:37" ht="15.5" x14ac:dyDescent="0.6">
      <c r="C37" s="70" t="s">
        <v>812</v>
      </c>
      <c r="E37" s="68"/>
      <c r="F37" s="68"/>
      <c r="AJ37" s="318" t="s">
        <v>707</v>
      </c>
      <c r="AK37" s="318" t="s">
        <v>856</v>
      </c>
    </row>
    <row r="38" spans="3:37" x14ac:dyDescent="0.6">
      <c r="AJ38" s="318" t="s">
        <v>708</v>
      </c>
      <c r="AK38" s="318" t="s">
        <v>868</v>
      </c>
    </row>
    <row r="39" spans="3:37" x14ac:dyDescent="0.6">
      <c r="AJ39" s="318" t="s">
        <v>709</v>
      </c>
      <c r="AK39" s="318" t="s">
        <v>857</v>
      </c>
    </row>
    <row r="40" spans="3:37" x14ac:dyDescent="0.6">
      <c r="AJ40" s="318" t="s">
        <v>710</v>
      </c>
      <c r="AK40" s="318" t="s">
        <v>858</v>
      </c>
    </row>
    <row r="41" spans="3:37" x14ac:dyDescent="0.6">
      <c r="AJ41" s="318" t="s">
        <v>711</v>
      </c>
      <c r="AK41" s="318" t="s">
        <v>859</v>
      </c>
    </row>
    <row r="42" spans="3:37" x14ac:dyDescent="0.6">
      <c r="AJ42" s="318" t="s">
        <v>712</v>
      </c>
      <c r="AK42" s="318" t="s">
        <v>860</v>
      </c>
    </row>
    <row r="43" spans="3:37" x14ac:dyDescent="0.6">
      <c r="AJ43" s="318" t="s">
        <v>713</v>
      </c>
      <c r="AK43" s="318" t="s">
        <v>861</v>
      </c>
    </row>
    <row r="44" spans="3:37" x14ac:dyDescent="0.6">
      <c r="AJ44" s="318" t="s">
        <v>714</v>
      </c>
      <c r="AK44" s="318" t="s">
        <v>862</v>
      </c>
    </row>
    <row r="45" spans="3:37" x14ac:dyDescent="0.6">
      <c r="AJ45" s="318" t="s">
        <v>715</v>
      </c>
      <c r="AK45" s="318" t="s">
        <v>863</v>
      </c>
    </row>
    <row r="46" spans="3:37" x14ac:dyDescent="0.6">
      <c r="AJ46" s="318" t="s">
        <v>716</v>
      </c>
      <c r="AK46" s="318" t="s">
        <v>864</v>
      </c>
    </row>
    <row r="47" spans="3:37" x14ac:dyDescent="0.6">
      <c r="AJ47" s="318" t="s">
        <v>717</v>
      </c>
      <c r="AK47" s="318" t="s">
        <v>865</v>
      </c>
    </row>
    <row r="48" spans="3:37" x14ac:dyDescent="0.6">
      <c r="AJ48" s="318" t="s">
        <v>764</v>
      </c>
      <c r="AK48" s="318" t="s">
        <v>866</v>
      </c>
    </row>
    <row r="49" spans="36:37" x14ac:dyDescent="0.6">
      <c r="AJ49" s="318" t="s">
        <v>718</v>
      </c>
      <c r="AK49" s="318" t="s">
        <v>867</v>
      </c>
    </row>
  </sheetData>
  <sheetProtection algorithmName="SHA-512" hashValue="7Gay5qfu5//LBxzVsQk/p8zCNTbooN2HRhPNVq105k18obg4AJEjoA0usoGfvuSwI9Shm4k9HsU7x2VTb3d7wg==" saltValue="79ZepiqL6vZnqz2c/yjOTg==" spinCount="100000" sheet="1" objects="1" scenarios="1"/>
  <phoneticPr fontId="2" type="noConversion"/>
  <dataValidations count="1">
    <dataValidation type="list" allowBlank="1" showInputMessage="1" showErrorMessage="1" sqref="Y7 C1:C27" xr:uid="{CBD6BF54-524B-4A29-8DF0-CC327BDF5FB0}">
      <formula1>$C$1:$C$26</formula1>
    </dataValidation>
  </dataValidations>
  <pageMargins left="0.75" right="0.75" top="1" bottom="1" header="0.5" footer="0.5"/>
  <pageSetup scale="85" orientation="landscape" r:id="rId1"/>
  <headerFooter alignWithMargins="0"/>
  <colBreaks count="1" manualBreakCount="1">
    <brk id="16" max="22" man="1"/>
  </col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C68"/>
  <sheetViews>
    <sheetView topLeftCell="A7" zoomScale="130" zoomScaleNormal="130" workbookViewId="0">
      <selection activeCell="C19" sqref="C19"/>
    </sheetView>
  </sheetViews>
  <sheetFormatPr defaultColWidth="8.76953125" defaultRowHeight="13" x14ac:dyDescent="0.6"/>
  <cols>
    <col min="1" max="1" width="20.6796875" customWidth="1"/>
    <col min="2" max="2" width="20.6796875" style="226" customWidth="1"/>
    <col min="3" max="3" width="100.6796875" customWidth="1"/>
  </cols>
  <sheetData>
    <row r="1" spans="1:3" ht="25.5" customHeight="1" thickTop="1" x14ac:dyDescent="0.6">
      <c r="A1" s="1053" t="s">
        <v>280</v>
      </c>
      <c r="B1" s="1054"/>
      <c r="C1" s="1055"/>
    </row>
    <row r="2" spans="1:3" ht="20.149999999999999" customHeight="1" x14ac:dyDescent="0.6">
      <c r="A2" s="1056"/>
      <c r="B2" s="1057"/>
      <c r="C2" s="1058"/>
    </row>
    <row r="3" spans="1:3" ht="20.149999999999999" customHeight="1" x14ac:dyDescent="0.6">
      <c r="A3" s="138" t="s">
        <v>281</v>
      </c>
      <c r="B3" s="222" t="s">
        <v>282</v>
      </c>
      <c r="C3" s="139" t="s">
        <v>283</v>
      </c>
    </row>
    <row r="4" spans="1:3" ht="20.149999999999999" customHeight="1" x14ac:dyDescent="0.6">
      <c r="A4" s="136" t="s">
        <v>300</v>
      </c>
      <c r="B4" s="223">
        <v>39814</v>
      </c>
      <c r="C4" s="140" t="s">
        <v>301</v>
      </c>
    </row>
    <row r="5" spans="1:3" ht="20.149999999999999" customHeight="1" x14ac:dyDescent="0.6">
      <c r="A5" s="136" t="s">
        <v>304</v>
      </c>
      <c r="B5" s="223">
        <v>40119</v>
      </c>
      <c r="C5" s="140" t="s">
        <v>305</v>
      </c>
    </row>
    <row r="6" spans="1:3" ht="20.149999999999999" customHeight="1" x14ac:dyDescent="0.6">
      <c r="A6" s="136" t="s">
        <v>309</v>
      </c>
      <c r="B6" s="223">
        <v>40426</v>
      </c>
      <c r="C6" s="163" t="s">
        <v>340</v>
      </c>
    </row>
    <row r="7" spans="1:3" ht="20.149999999999999" customHeight="1" x14ac:dyDescent="0.6">
      <c r="A7" s="136" t="s">
        <v>367</v>
      </c>
      <c r="B7" s="223" t="s">
        <v>368</v>
      </c>
      <c r="C7" s="163" t="s">
        <v>412</v>
      </c>
    </row>
    <row r="8" spans="1:3" ht="20.149999999999999" customHeight="1" x14ac:dyDescent="0.6">
      <c r="A8" s="199" t="s">
        <v>425</v>
      </c>
      <c r="B8" s="224" t="s">
        <v>426</v>
      </c>
      <c r="C8" s="163" t="s">
        <v>427</v>
      </c>
    </row>
    <row r="9" spans="1:3" ht="20.149999999999999" customHeight="1" x14ac:dyDescent="0.6">
      <c r="A9" s="136" t="s">
        <v>436</v>
      </c>
      <c r="B9" s="223">
        <v>41335</v>
      </c>
      <c r="C9" s="140" t="s">
        <v>437</v>
      </c>
    </row>
    <row r="10" spans="1:3" ht="20.149999999999999" customHeight="1" x14ac:dyDescent="0.6">
      <c r="A10" s="136" t="s">
        <v>438</v>
      </c>
      <c r="B10" s="223">
        <v>41336</v>
      </c>
      <c r="C10" s="140" t="s">
        <v>439</v>
      </c>
    </row>
    <row r="11" spans="1:3" ht="20.149999999999999" customHeight="1" x14ac:dyDescent="0.6">
      <c r="A11" s="136" t="s">
        <v>565</v>
      </c>
      <c r="B11" s="223" t="s">
        <v>566</v>
      </c>
      <c r="C11" s="140" t="s">
        <v>567</v>
      </c>
    </row>
    <row r="12" spans="1:3" ht="20.149999999999999" customHeight="1" x14ac:dyDescent="0.6">
      <c r="A12" s="136" t="s">
        <v>591</v>
      </c>
      <c r="B12" s="223">
        <v>42005</v>
      </c>
      <c r="C12" s="140" t="s">
        <v>592</v>
      </c>
    </row>
    <row r="13" spans="1:3" ht="20.149999999999999" customHeight="1" x14ac:dyDescent="0.6">
      <c r="A13" s="136" t="s">
        <v>597</v>
      </c>
      <c r="B13" s="223">
        <v>42375</v>
      </c>
      <c r="C13" s="140" t="s">
        <v>598</v>
      </c>
    </row>
    <row r="14" spans="1:3" ht="20.149999999999999" customHeight="1" x14ac:dyDescent="0.6">
      <c r="A14" s="136" t="s">
        <v>599</v>
      </c>
      <c r="B14" s="223">
        <v>42716</v>
      </c>
      <c r="C14" s="140" t="s">
        <v>600</v>
      </c>
    </row>
    <row r="15" spans="1:3" ht="20.149999999999999" customHeight="1" x14ac:dyDescent="0.6">
      <c r="A15" s="136" t="s">
        <v>645</v>
      </c>
      <c r="B15" s="223">
        <v>43465</v>
      </c>
      <c r="C15" s="140" t="s">
        <v>646</v>
      </c>
    </row>
    <row r="16" spans="1:3" ht="20.149999999999999" customHeight="1" x14ac:dyDescent="0.6">
      <c r="A16" s="136" t="s">
        <v>645</v>
      </c>
      <c r="B16" s="223">
        <v>43768</v>
      </c>
      <c r="C16" s="140" t="s">
        <v>765</v>
      </c>
    </row>
    <row r="17" spans="1:3" ht="20.149999999999999" customHeight="1" x14ac:dyDescent="0.6">
      <c r="A17" s="136" t="s">
        <v>645</v>
      </c>
      <c r="B17" s="223">
        <v>44540</v>
      </c>
      <c r="C17" s="140" t="s">
        <v>792</v>
      </c>
    </row>
    <row r="18" spans="1:3" ht="20.149999999999999" customHeight="1" x14ac:dyDescent="0.6">
      <c r="A18" s="199" t="s">
        <v>762</v>
      </c>
      <c r="B18" s="223">
        <v>44546</v>
      </c>
      <c r="C18" s="163" t="s">
        <v>802</v>
      </c>
    </row>
    <row r="19" spans="1:3" ht="20.149999999999999" customHeight="1" x14ac:dyDescent="0.6">
      <c r="A19" s="136"/>
      <c r="B19" s="223"/>
      <c r="C19" s="140"/>
    </row>
    <row r="20" spans="1:3" ht="20.149999999999999" customHeight="1" x14ac:dyDescent="0.6">
      <c r="A20" s="136"/>
      <c r="B20" s="223"/>
      <c r="C20" s="140"/>
    </row>
    <row r="21" spans="1:3" ht="20.149999999999999" customHeight="1" x14ac:dyDescent="0.6">
      <c r="A21" s="136"/>
      <c r="B21" s="223"/>
      <c r="C21" s="140"/>
    </row>
    <row r="22" spans="1:3" ht="20.149999999999999" customHeight="1" x14ac:dyDescent="0.6">
      <c r="A22" s="136"/>
      <c r="B22" s="223"/>
      <c r="C22" s="140"/>
    </row>
    <row r="23" spans="1:3" ht="20.149999999999999" customHeight="1" x14ac:dyDescent="0.6">
      <c r="A23" s="136"/>
      <c r="B23" s="223"/>
      <c r="C23" s="140"/>
    </row>
    <row r="24" spans="1:3" ht="20.149999999999999" customHeight="1" x14ac:dyDescent="0.6">
      <c r="A24" s="136"/>
      <c r="B24" s="223"/>
      <c r="C24" s="140"/>
    </row>
    <row r="25" spans="1:3" ht="20.149999999999999" customHeight="1" x14ac:dyDescent="0.6">
      <c r="A25" s="136"/>
      <c r="B25" s="223"/>
      <c r="C25" s="140"/>
    </row>
    <row r="26" spans="1:3" ht="20.149999999999999" customHeight="1" x14ac:dyDescent="0.6">
      <c r="A26" s="136"/>
      <c r="B26" s="223"/>
      <c r="C26" s="140"/>
    </row>
    <row r="27" spans="1:3" ht="20.149999999999999" customHeight="1" x14ac:dyDescent="0.6">
      <c r="A27" s="136"/>
      <c r="B27" s="223"/>
      <c r="C27" s="140"/>
    </row>
    <row r="28" spans="1:3" ht="20.149999999999999" customHeight="1" x14ac:dyDescent="0.6">
      <c r="A28" s="136"/>
      <c r="B28" s="223"/>
      <c r="C28" s="140"/>
    </row>
    <row r="29" spans="1:3" ht="20.149999999999999" customHeight="1" x14ac:dyDescent="0.6">
      <c r="A29" s="136"/>
      <c r="B29" s="223"/>
      <c r="C29" s="140"/>
    </row>
    <row r="30" spans="1:3" ht="20.149999999999999" customHeight="1" x14ac:dyDescent="0.6">
      <c r="A30" s="136"/>
      <c r="B30" s="223"/>
      <c r="C30" s="140"/>
    </row>
    <row r="31" spans="1:3" ht="20.149999999999999" customHeight="1" x14ac:dyDescent="0.6">
      <c r="A31" s="136"/>
      <c r="B31" s="223"/>
      <c r="C31" s="140"/>
    </row>
    <row r="32" spans="1:3" ht="20.149999999999999" customHeight="1" x14ac:dyDescent="0.6">
      <c r="A32" s="136"/>
      <c r="B32" s="223"/>
      <c r="C32" s="140"/>
    </row>
    <row r="33" spans="1:3" ht="20.149999999999999" customHeight="1" x14ac:dyDescent="0.6">
      <c r="A33" s="136"/>
      <c r="B33" s="223"/>
      <c r="C33" s="140"/>
    </row>
    <row r="34" spans="1:3" ht="20.149999999999999" customHeight="1" x14ac:dyDescent="0.6">
      <c r="A34" s="136"/>
      <c r="B34" s="223"/>
      <c r="C34" s="140"/>
    </row>
    <row r="35" spans="1:3" ht="20.149999999999999" customHeight="1" x14ac:dyDescent="0.6">
      <c r="A35" s="136"/>
      <c r="B35" s="223"/>
      <c r="C35" s="140"/>
    </row>
    <row r="36" spans="1:3" ht="20.149999999999999" customHeight="1" x14ac:dyDescent="0.6">
      <c r="A36" s="136"/>
      <c r="B36" s="223"/>
      <c r="C36" s="140"/>
    </row>
    <row r="37" spans="1:3" ht="20.149999999999999" customHeight="1" x14ac:dyDescent="0.6">
      <c r="A37" s="136"/>
      <c r="B37" s="223"/>
      <c r="C37" s="140"/>
    </row>
    <row r="38" spans="1:3" ht="20.149999999999999" customHeight="1" x14ac:dyDescent="0.6">
      <c r="A38" s="136"/>
      <c r="B38" s="223"/>
      <c r="C38" s="140"/>
    </row>
    <row r="39" spans="1:3" ht="20.149999999999999" customHeight="1" x14ac:dyDescent="0.6">
      <c r="A39" s="136"/>
      <c r="B39" s="223"/>
      <c r="C39" s="140"/>
    </row>
    <row r="40" spans="1:3" ht="20.149999999999999" customHeight="1" x14ac:dyDescent="0.6">
      <c r="A40" s="136"/>
      <c r="B40" s="223"/>
      <c r="C40" s="140"/>
    </row>
    <row r="41" spans="1:3" ht="20.149999999999999" customHeight="1" x14ac:dyDescent="0.6">
      <c r="A41" s="136"/>
      <c r="B41" s="223"/>
      <c r="C41" s="140"/>
    </row>
    <row r="42" spans="1:3" ht="20.149999999999999" customHeight="1" x14ac:dyDescent="0.6">
      <c r="A42" s="136"/>
      <c r="B42" s="223"/>
      <c r="C42" s="140"/>
    </row>
    <row r="43" spans="1:3" ht="20.149999999999999" customHeight="1" x14ac:dyDescent="0.6">
      <c r="A43" s="136"/>
      <c r="B43" s="223"/>
      <c r="C43" s="140"/>
    </row>
    <row r="44" spans="1:3" ht="20.149999999999999" customHeight="1" x14ac:dyDescent="0.6">
      <c r="A44" s="136"/>
      <c r="B44" s="223"/>
      <c r="C44" s="140"/>
    </row>
    <row r="45" spans="1:3" ht="20.149999999999999" customHeight="1" x14ac:dyDescent="0.6">
      <c r="A45" s="136"/>
      <c r="B45" s="223"/>
      <c r="C45" s="140"/>
    </row>
    <row r="46" spans="1:3" ht="20.149999999999999" customHeight="1" x14ac:dyDescent="0.6">
      <c r="A46" s="136"/>
      <c r="B46" s="223"/>
      <c r="C46" s="140"/>
    </row>
    <row r="47" spans="1:3" ht="20.149999999999999" customHeight="1" x14ac:dyDescent="0.6">
      <c r="A47" s="136"/>
      <c r="B47" s="223"/>
      <c r="C47" s="140"/>
    </row>
    <row r="48" spans="1:3" ht="20.149999999999999" customHeight="1" x14ac:dyDescent="0.6">
      <c r="A48" s="136"/>
      <c r="B48" s="223"/>
      <c r="C48" s="140"/>
    </row>
    <row r="49" spans="1:3" ht="20.149999999999999" customHeight="1" x14ac:dyDescent="0.6">
      <c r="A49" s="136"/>
      <c r="B49" s="223"/>
      <c r="C49" s="140"/>
    </row>
    <row r="50" spans="1:3" ht="20.149999999999999" customHeight="1" thickBot="1" x14ac:dyDescent="0.75">
      <c r="A50" s="137"/>
      <c r="B50" s="225"/>
      <c r="C50" s="141"/>
    </row>
    <row r="51" spans="1:3" ht="20.149999999999999" customHeight="1" thickTop="1" x14ac:dyDescent="0.6"/>
    <row r="52" spans="1:3" ht="20.149999999999999" customHeight="1" x14ac:dyDescent="0.6"/>
    <row r="53" spans="1:3" ht="20.149999999999999" customHeight="1" x14ac:dyDescent="0.6"/>
    <row r="54" spans="1:3" ht="20.149999999999999" customHeight="1" x14ac:dyDescent="0.6"/>
    <row r="55" spans="1:3" ht="20.149999999999999" customHeight="1" x14ac:dyDescent="0.6"/>
    <row r="56" spans="1:3" ht="20.149999999999999" customHeight="1" x14ac:dyDescent="0.6"/>
    <row r="57" spans="1:3" ht="20.149999999999999" customHeight="1" x14ac:dyDescent="0.6"/>
    <row r="58" spans="1:3" ht="20.149999999999999" customHeight="1" x14ac:dyDescent="0.6"/>
    <row r="59" spans="1:3" ht="20.149999999999999" customHeight="1" x14ac:dyDescent="0.6"/>
    <row r="60" spans="1:3" ht="20.149999999999999" customHeight="1" x14ac:dyDescent="0.6"/>
    <row r="61" spans="1:3" ht="20.149999999999999" customHeight="1" x14ac:dyDescent="0.6"/>
    <row r="62" spans="1:3" ht="20.149999999999999" customHeight="1" x14ac:dyDescent="0.6"/>
    <row r="63" spans="1:3" ht="20.149999999999999" customHeight="1" x14ac:dyDescent="0.6"/>
    <row r="64" spans="1:3" ht="20.149999999999999" customHeight="1" x14ac:dyDescent="0.6"/>
    <row r="65" ht="20.149999999999999" customHeight="1" x14ac:dyDescent="0.6"/>
    <row r="66" ht="20.149999999999999" customHeight="1" x14ac:dyDescent="0.6"/>
    <row r="67" ht="20.149999999999999" customHeight="1" x14ac:dyDescent="0.6"/>
    <row r="68" ht="20.149999999999999" customHeight="1" x14ac:dyDescent="0.6"/>
  </sheetData>
  <sheetProtection algorithmName="SHA-512" hashValue="tYl/083nLQVkYMgtDn+OMpm/Si7CY3nCObBKGQ+OWQG01k6z2FtMK7QDpqtXOtrp55FzLUNYVTpBR88Dk/KQQg==" saltValue="FfJHdLk6QcGtrEqNL5/UaA==" spinCount="100000" sheet="1" objects="1" scenarios="1"/>
  <mergeCells count="1">
    <mergeCell ref="A1:C2"/>
  </mergeCells>
  <phoneticPr fontId="2" type="noConversion"/>
  <printOptions horizontalCentered="1" verticalCentered="1"/>
  <pageMargins left="0.25" right="0.25" top="0.25" bottom="0.25" header="0" footer="0"/>
  <pageSetup scale="73"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pageSetUpPr fitToPage="1"/>
  </sheetPr>
  <dimension ref="A1:AC60"/>
  <sheetViews>
    <sheetView tabSelected="1" topLeftCell="A24" zoomScale="93" zoomScaleNormal="93" workbookViewId="0">
      <selection activeCell="M19" sqref="M19"/>
    </sheetView>
  </sheetViews>
  <sheetFormatPr defaultColWidth="12.6796875" defaultRowHeight="13" x14ac:dyDescent="0.6"/>
  <cols>
    <col min="1" max="1" width="2.6796875" customWidth="1"/>
    <col min="2" max="2" width="25.6796875" customWidth="1"/>
    <col min="3" max="3" width="10.6796875" customWidth="1"/>
    <col min="4" max="4" width="1.6796875" customWidth="1"/>
    <col min="5" max="6" width="14.6796875" customWidth="1"/>
    <col min="7" max="8" width="6.6796875" style="3" customWidth="1"/>
    <col min="9" max="9" width="1.6796875" style="3" customWidth="1"/>
    <col min="10" max="10" width="15.76953125" style="3" customWidth="1"/>
    <col min="11" max="11" width="12.6796875" style="3" customWidth="1"/>
    <col min="12" max="12" width="1.6796875" style="3" customWidth="1"/>
    <col min="13" max="13" width="13.453125" customWidth="1"/>
    <col min="14" max="14" width="12.6796875" customWidth="1"/>
    <col min="15" max="15" width="6.6796875" customWidth="1"/>
    <col min="16" max="16" width="10.2265625" customWidth="1"/>
    <col min="17" max="17" width="1.6796875" customWidth="1"/>
    <col min="18" max="18" width="3.6796875" customWidth="1"/>
    <col min="19" max="19" width="8.6796875" customWidth="1"/>
    <col min="20" max="28" width="12.6796875" customWidth="1"/>
    <col min="29" max="29" width="3.6796875" customWidth="1"/>
  </cols>
  <sheetData>
    <row r="1" spans="1:29" ht="13.75" thickBot="1" x14ac:dyDescent="0.75">
      <c r="A1" s="387"/>
      <c r="B1" s="388"/>
      <c r="C1" s="388"/>
      <c r="D1" s="388"/>
      <c r="E1" s="388"/>
      <c r="F1" s="388"/>
      <c r="G1" s="388"/>
      <c r="H1" s="388"/>
      <c r="I1" s="388"/>
      <c r="J1" s="388"/>
      <c r="K1" s="388"/>
      <c r="L1" s="388"/>
      <c r="M1" s="388"/>
      <c r="N1" s="388"/>
      <c r="O1" s="388"/>
      <c r="P1" s="388"/>
      <c r="Q1" s="388"/>
      <c r="R1" s="388"/>
      <c r="S1" s="388"/>
      <c r="T1" s="388"/>
      <c r="U1" s="388"/>
      <c r="V1" s="388"/>
      <c r="W1" s="388"/>
      <c r="X1" s="388"/>
      <c r="Y1" s="388"/>
      <c r="Z1" s="388"/>
      <c r="AA1" s="388"/>
      <c r="AB1" s="388"/>
      <c r="AC1" s="388"/>
    </row>
    <row r="2" spans="1:29" ht="20.149999999999999" customHeight="1" thickTop="1" x14ac:dyDescent="0.6">
      <c r="A2" s="387"/>
      <c r="B2" s="573" t="s">
        <v>878</v>
      </c>
      <c r="C2" s="574"/>
      <c r="D2" s="574"/>
      <c r="E2" s="574"/>
      <c r="F2" s="574"/>
      <c r="G2" s="574"/>
      <c r="H2" s="574"/>
      <c r="I2" s="574"/>
      <c r="J2" s="574"/>
      <c r="K2" s="575"/>
      <c r="L2" s="315"/>
      <c r="M2" s="389" t="s">
        <v>101</v>
      </c>
      <c r="N2" s="390"/>
      <c r="O2" s="390"/>
      <c r="P2" s="390"/>
      <c r="Q2" s="390"/>
      <c r="R2" s="390"/>
      <c r="S2" s="390"/>
      <c r="T2" s="390"/>
      <c r="U2" s="390"/>
      <c r="V2" s="390"/>
      <c r="W2" s="390"/>
      <c r="X2" s="390"/>
      <c r="Y2" s="390"/>
      <c r="Z2" s="390"/>
      <c r="AA2" s="390"/>
      <c r="AB2" s="391"/>
      <c r="AC2" s="394"/>
    </row>
    <row r="3" spans="1:29" ht="20.149999999999999" customHeight="1" x14ac:dyDescent="0.6">
      <c r="A3" s="387"/>
      <c r="B3" s="576"/>
      <c r="C3" s="577"/>
      <c r="D3" s="577"/>
      <c r="E3" s="577"/>
      <c r="F3" s="577"/>
      <c r="G3" s="577"/>
      <c r="H3" s="577"/>
      <c r="I3" s="577"/>
      <c r="J3" s="577"/>
      <c r="K3" s="578"/>
      <c r="L3" s="48"/>
      <c r="M3" s="493" t="s">
        <v>72</v>
      </c>
      <c r="N3" s="512" t="s">
        <v>68</v>
      </c>
      <c r="O3" s="538" t="s">
        <v>70</v>
      </c>
      <c r="P3" s="540"/>
      <c r="Q3" s="538" t="s">
        <v>69</v>
      </c>
      <c r="R3" s="539"/>
      <c r="S3" s="540"/>
      <c r="T3" s="591" t="s">
        <v>71</v>
      </c>
      <c r="U3" s="539"/>
      <c r="V3" s="540"/>
      <c r="W3" s="588" t="s">
        <v>872</v>
      </c>
      <c r="X3" s="465" t="s">
        <v>252</v>
      </c>
      <c r="Y3" s="513" t="s">
        <v>110</v>
      </c>
      <c r="Z3" s="589" t="s">
        <v>663</v>
      </c>
      <c r="AA3" s="385" t="s">
        <v>819</v>
      </c>
      <c r="AB3" s="392" t="s">
        <v>747</v>
      </c>
      <c r="AC3" s="395"/>
    </row>
    <row r="4" spans="1:29" ht="20.149999999999999" customHeight="1" thickBot="1" x14ac:dyDescent="0.75">
      <c r="A4" s="387"/>
      <c r="B4" s="579"/>
      <c r="C4" s="580"/>
      <c r="D4" s="580"/>
      <c r="E4" s="580"/>
      <c r="F4" s="580"/>
      <c r="G4" s="580"/>
      <c r="H4" s="580"/>
      <c r="I4" s="580"/>
      <c r="J4" s="580"/>
      <c r="K4" s="581"/>
      <c r="L4" s="48"/>
      <c r="M4" s="494"/>
      <c r="N4" s="465"/>
      <c r="O4" s="513"/>
      <c r="P4" s="542"/>
      <c r="Q4" s="513"/>
      <c r="R4" s="541"/>
      <c r="S4" s="542"/>
      <c r="T4" s="58" t="s">
        <v>203</v>
      </c>
      <c r="U4" s="66" t="s">
        <v>16</v>
      </c>
      <c r="V4" s="259" t="s">
        <v>549</v>
      </c>
      <c r="W4" s="465"/>
      <c r="X4" s="468"/>
      <c r="Y4" s="514"/>
      <c r="Z4" s="514"/>
      <c r="AA4" s="386"/>
      <c r="AB4" s="393"/>
      <c r="AC4" s="395"/>
    </row>
    <row r="5" spans="1:29" ht="19.5" customHeight="1" thickTop="1" x14ac:dyDescent="0.7">
      <c r="A5" s="387"/>
      <c r="B5" s="563" t="s">
        <v>509</v>
      </c>
      <c r="C5" s="564"/>
      <c r="D5" s="582"/>
      <c r="E5" s="583"/>
      <c r="F5" s="583"/>
      <c r="G5" s="583"/>
      <c r="H5" s="583"/>
      <c r="I5" s="583"/>
      <c r="J5" s="583"/>
      <c r="K5" s="584"/>
      <c r="L5" s="49"/>
      <c r="M5" s="204"/>
      <c r="N5" s="205"/>
      <c r="O5" s="545"/>
      <c r="P5" s="547"/>
      <c r="Q5" s="545"/>
      <c r="R5" s="546"/>
      <c r="S5" s="546"/>
      <c r="T5" s="205"/>
      <c r="U5" s="206"/>
      <c r="V5" s="299"/>
      <c r="W5" s="205"/>
      <c r="X5" s="205"/>
      <c r="Y5" s="206"/>
      <c r="Z5" s="205"/>
      <c r="AA5" s="206"/>
      <c r="AB5" s="207"/>
      <c r="AC5" s="395"/>
    </row>
    <row r="6" spans="1:29" ht="19.5" customHeight="1" x14ac:dyDescent="0.7">
      <c r="A6" s="387"/>
      <c r="B6" s="585" t="s">
        <v>818</v>
      </c>
      <c r="C6" s="586"/>
      <c r="D6" s="382"/>
      <c r="E6" s="383"/>
      <c r="F6" s="383"/>
      <c r="G6" s="383"/>
      <c r="H6" s="383"/>
      <c r="I6" s="383"/>
      <c r="J6" s="383"/>
      <c r="K6" s="384"/>
      <c r="L6" s="49"/>
      <c r="M6" s="212"/>
      <c r="N6" s="205"/>
      <c r="O6" s="545"/>
      <c r="P6" s="547"/>
      <c r="Q6" s="545"/>
      <c r="R6" s="546"/>
      <c r="S6" s="547"/>
      <c r="T6" s="205"/>
      <c r="U6" s="206"/>
      <c r="V6" s="299"/>
      <c r="W6" s="205"/>
      <c r="X6" s="205"/>
      <c r="Y6" s="206"/>
      <c r="Z6" s="205"/>
      <c r="AA6" s="206"/>
      <c r="AB6" s="207"/>
      <c r="AC6" s="395"/>
    </row>
    <row r="7" spans="1:29" ht="20.149999999999999" customHeight="1" thickBot="1" x14ac:dyDescent="0.85">
      <c r="A7" s="387"/>
      <c r="B7" s="534" t="s">
        <v>66</v>
      </c>
      <c r="C7" s="535"/>
      <c r="D7" s="499"/>
      <c r="E7" s="500"/>
      <c r="F7" s="500"/>
      <c r="G7" s="500"/>
      <c r="H7" s="500"/>
      <c r="I7" s="500"/>
      <c r="J7" s="500"/>
      <c r="K7" s="501"/>
      <c r="L7" s="49"/>
      <c r="M7" s="208"/>
      <c r="N7" s="205"/>
      <c r="O7" s="545"/>
      <c r="P7" s="547"/>
      <c r="Q7" s="545"/>
      <c r="R7" s="546"/>
      <c r="S7" s="546"/>
      <c r="T7" s="205"/>
      <c r="U7" s="206"/>
      <c r="V7" s="299"/>
      <c r="W7" s="205"/>
      <c r="X7" s="205"/>
      <c r="Y7" s="206"/>
      <c r="Z7" s="205"/>
      <c r="AA7" s="206"/>
      <c r="AB7" s="207"/>
      <c r="AC7" s="395"/>
    </row>
    <row r="8" spans="1:29" ht="20.149999999999999" customHeight="1" thickTop="1" x14ac:dyDescent="0.7">
      <c r="A8" s="387"/>
      <c r="B8" s="534" t="s">
        <v>100</v>
      </c>
      <c r="C8" s="535"/>
      <c r="D8" s="499"/>
      <c r="E8" s="500"/>
      <c r="F8" s="500"/>
      <c r="G8" s="500"/>
      <c r="H8" s="500"/>
      <c r="I8" s="500"/>
      <c r="J8" s="500"/>
      <c r="K8" s="501"/>
      <c r="L8" s="49"/>
      <c r="M8" s="97"/>
      <c r="N8" s="205"/>
      <c r="O8" s="545"/>
      <c r="P8" s="547"/>
      <c r="Q8" s="545"/>
      <c r="R8" s="546"/>
      <c r="S8" s="546"/>
      <c r="T8" s="205"/>
      <c r="U8" s="206"/>
      <c r="V8" s="299"/>
      <c r="W8" s="205"/>
      <c r="X8" s="205"/>
      <c r="Y8" s="206"/>
      <c r="Z8" s="205"/>
      <c r="AA8" s="206"/>
      <c r="AB8" s="207"/>
      <c r="AC8" s="395"/>
    </row>
    <row r="9" spans="1:29" ht="20.149999999999999" customHeight="1" thickBot="1" x14ac:dyDescent="0.85">
      <c r="A9" s="387"/>
      <c r="B9" s="484" t="s">
        <v>299</v>
      </c>
      <c r="C9" s="485"/>
      <c r="D9" s="502"/>
      <c r="E9" s="503"/>
      <c r="F9" s="503"/>
      <c r="G9" s="503"/>
      <c r="H9" s="503"/>
      <c r="I9" s="503"/>
      <c r="J9" s="503"/>
      <c r="K9" s="504"/>
      <c r="L9" s="49"/>
      <c r="M9" s="97"/>
      <c r="N9" s="205"/>
      <c r="O9" s="543"/>
      <c r="P9" s="544"/>
      <c r="Q9" s="545"/>
      <c r="R9" s="546"/>
      <c r="S9" s="546"/>
      <c r="T9" s="205"/>
      <c r="U9" s="206"/>
      <c r="V9" s="299"/>
      <c r="W9" s="205"/>
      <c r="X9" s="205"/>
      <c r="Y9" s="206"/>
      <c r="Z9" s="205"/>
      <c r="AA9" s="206"/>
      <c r="AB9" s="207"/>
      <c r="AC9" s="395"/>
    </row>
    <row r="10" spans="1:29" ht="20.149999999999999" customHeight="1" thickTop="1" thickBot="1" x14ac:dyDescent="0.75">
      <c r="A10" s="387"/>
      <c r="B10" s="64"/>
      <c r="C10" s="65"/>
      <c r="D10" s="18"/>
      <c r="E10" s="18"/>
      <c r="F10" s="18"/>
      <c r="G10" s="16"/>
      <c r="H10" s="16"/>
      <c r="I10" s="16"/>
      <c r="J10" s="16"/>
      <c r="K10" s="20"/>
      <c r="L10" s="16"/>
      <c r="M10" s="81"/>
      <c r="N10" s="205"/>
      <c r="O10" s="543"/>
      <c r="P10" s="544"/>
      <c r="Q10" s="548"/>
      <c r="R10" s="548"/>
      <c r="S10" s="548"/>
      <c r="T10" s="205"/>
      <c r="U10" s="206"/>
      <c r="V10" s="299"/>
      <c r="W10" s="209"/>
      <c r="X10" s="210"/>
      <c r="Y10" s="206"/>
      <c r="Z10" s="205"/>
      <c r="AA10" s="206"/>
      <c r="AB10" s="207"/>
      <c r="AC10" s="395"/>
    </row>
    <row r="11" spans="1:29" ht="20.149999999999999" customHeight="1" thickTop="1" thickBot="1" x14ac:dyDescent="0.75">
      <c r="A11" s="387"/>
      <c r="B11" s="482" t="s">
        <v>67</v>
      </c>
      <c r="C11" s="483"/>
      <c r="D11" s="402"/>
      <c r="E11" s="505" t="s">
        <v>441</v>
      </c>
      <c r="F11" s="506"/>
      <c r="G11" s="506"/>
      <c r="H11" s="506"/>
      <c r="I11" s="506"/>
      <c r="J11" s="507"/>
      <c r="K11" s="227"/>
      <c r="L11" s="50"/>
      <c r="M11" s="81"/>
      <c r="N11" s="205"/>
      <c r="O11" s="543"/>
      <c r="P11" s="544"/>
      <c r="Q11" s="549"/>
      <c r="R11" s="549"/>
      <c r="S11" s="549"/>
      <c r="T11" s="204"/>
      <c r="U11" s="206"/>
      <c r="V11" s="300"/>
      <c r="W11" s="98"/>
      <c r="X11" s="95"/>
      <c r="Y11" s="206"/>
      <c r="Z11" s="205"/>
      <c r="AA11" s="206"/>
      <c r="AB11" s="207"/>
      <c r="AC11" s="395"/>
    </row>
    <row r="12" spans="1:29" ht="20.149999999999999" customHeight="1" thickTop="1" thickBot="1" x14ac:dyDescent="0.75">
      <c r="A12" s="387"/>
      <c r="B12" s="434"/>
      <c r="C12" s="435"/>
      <c r="D12" s="402"/>
      <c r="E12" s="434" t="s">
        <v>442</v>
      </c>
      <c r="F12" s="486"/>
      <c r="G12" s="486"/>
      <c r="H12" s="486"/>
      <c r="I12" s="486"/>
      <c r="J12" s="487"/>
      <c r="K12" s="227"/>
      <c r="L12" s="50"/>
      <c r="M12" s="81"/>
      <c r="N12" s="205"/>
      <c r="O12" s="543"/>
      <c r="P12" s="544"/>
      <c r="Q12" s="565"/>
      <c r="R12" s="565"/>
      <c r="S12" s="565"/>
      <c r="T12" s="204"/>
      <c r="U12" s="206"/>
      <c r="V12" s="300"/>
      <c r="W12" s="99"/>
      <c r="X12" s="97"/>
      <c r="Y12" s="206"/>
      <c r="Z12" s="205"/>
      <c r="AA12" s="206"/>
      <c r="AB12" s="207"/>
      <c r="AC12" s="395"/>
    </row>
    <row r="13" spans="1:29" ht="20.149999999999999" customHeight="1" thickTop="1" thickBot="1" x14ac:dyDescent="0.75">
      <c r="A13" s="387"/>
      <c r="B13" s="79" t="s">
        <v>190</v>
      </c>
      <c r="C13" s="92">
        <f>SUM(Obedience!C46)</f>
        <v>0</v>
      </c>
      <c r="D13" s="402"/>
      <c r="E13" s="511" t="s">
        <v>415</v>
      </c>
      <c r="F13" s="509"/>
      <c r="G13" s="509"/>
      <c r="H13" s="509"/>
      <c r="I13" s="509"/>
      <c r="J13" s="510"/>
      <c r="K13" s="219"/>
      <c r="L13" s="50"/>
      <c r="M13" s="81"/>
      <c r="N13" s="205"/>
      <c r="O13" s="543"/>
      <c r="P13" s="544"/>
      <c r="Q13" s="565"/>
      <c r="R13" s="565"/>
      <c r="S13" s="565"/>
      <c r="T13" s="212"/>
      <c r="U13" s="213"/>
      <c r="V13" s="300"/>
      <c r="W13" s="99"/>
      <c r="X13" s="97"/>
      <c r="Y13" s="206"/>
      <c r="Z13" s="205"/>
      <c r="AA13" s="206"/>
      <c r="AB13" s="207"/>
      <c r="AC13" s="395"/>
    </row>
    <row r="14" spans="1:29" ht="20.149999999999999" customHeight="1" thickTop="1" thickBot="1" x14ac:dyDescent="0.75">
      <c r="A14" s="387"/>
      <c r="B14" s="82" t="s">
        <v>191</v>
      </c>
      <c r="C14" s="93">
        <f>SUM(Obedience!D46)</f>
        <v>0</v>
      </c>
      <c r="D14" s="402"/>
      <c r="E14" s="508" t="s">
        <v>414</v>
      </c>
      <c r="F14" s="509"/>
      <c r="G14" s="509"/>
      <c r="H14" s="509"/>
      <c r="I14" s="509"/>
      <c r="J14" s="510"/>
      <c r="K14" s="219"/>
      <c r="L14" s="50"/>
      <c r="M14" s="81"/>
      <c r="N14" s="81"/>
      <c r="O14" s="536"/>
      <c r="P14" s="537"/>
      <c r="Q14" s="81"/>
      <c r="R14" s="81"/>
      <c r="S14" s="81"/>
      <c r="T14" s="214"/>
      <c r="U14" s="215"/>
      <c r="V14" s="301"/>
      <c r="W14" s="99"/>
      <c r="X14" s="97"/>
      <c r="Y14" s="215"/>
      <c r="Z14" s="205"/>
      <c r="AA14" s="206"/>
      <c r="AB14" s="207"/>
      <c r="AC14" s="395"/>
    </row>
    <row r="15" spans="1:29" ht="20.149999999999999" customHeight="1" thickTop="1" x14ac:dyDescent="0.6">
      <c r="A15" s="387"/>
      <c r="B15" s="82" t="s">
        <v>69</v>
      </c>
      <c r="C15" s="93">
        <f>SUM(Tracking!C18)</f>
        <v>0</v>
      </c>
      <c r="D15" s="402"/>
      <c r="E15" s="482" t="s">
        <v>144</v>
      </c>
      <c r="F15" s="453"/>
      <c r="G15" s="453"/>
      <c r="H15" s="453"/>
      <c r="I15" s="453"/>
      <c r="J15" s="454"/>
      <c r="K15" s="430"/>
      <c r="L15" s="50"/>
      <c r="M15" s="81"/>
      <c r="N15" s="81"/>
      <c r="O15" s="81"/>
      <c r="P15" s="81"/>
      <c r="Q15" s="81"/>
      <c r="R15" s="81"/>
      <c r="S15" s="81"/>
      <c r="T15" s="81"/>
      <c r="U15" s="81"/>
      <c r="V15" s="81"/>
      <c r="W15" s="81"/>
      <c r="X15" s="81"/>
      <c r="Y15" s="23"/>
      <c r="Z15" s="30"/>
      <c r="AA15" s="30"/>
      <c r="AB15" s="316"/>
      <c r="AC15" s="395"/>
    </row>
    <row r="16" spans="1:29" ht="20.149999999999999" customHeight="1" thickBot="1" x14ac:dyDescent="0.75">
      <c r="A16" s="387"/>
      <c r="B16" s="82" t="s">
        <v>70</v>
      </c>
      <c r="C16" s="93">
        <f>SUM(Rally!C81)</f>
        <v>0</v>
      </c>
      <c r="D16" s="402"/>
      <c r="E16" s="434"/>
      <c r="F16" s="486"/>
      <c r="G16" s="486"/>
      <c r="H16" s="486"/>
      <c r="I16" s="486"/>
      <c r="J16" s="487"/>
      <c r="K16" s="431"/>
      <c r="L16" s="51"/>
      <c r="M16" s="397" t="s">
        <v>111</v>
      </c>
      <c r="N16" s="398"/>
      <c r="O16" s="398"/>
      <c r="P16" s="398"/>
      <c r="Q16" s="398"/>
      <c r="R16" s="398"/>
      <c r="S16" s="398"/>
      <c r="T16" s="398"/>
      <c r="U16" s="398"/>
      <c r="V16" s="398"/>
      <c r="W16" s="398"/>
      <c r="X16" s="398"/>
      <c r="Y16" s="398"/>
      <c r="Z16" s="398"/>
      <c r="AA16" s="398"/>
      <c r="AB16" s="399"/>
      <c r="AC16" s="395"/>
    </row>
    <row r="17" spans="1:29" ht="20.149999999999999" customHeight="1" thickTop="1" x14ac:dyDescent="0.6">
      <c r="A17" s="387"/>
      <c r="B17" s="82" t="s">
        <v>71</v>
      </c>
      <c r="C17" s="93">
        <f>SUM(Agility!C102)</f>
        <v>0</v>
      </c>
      <c r="D17" s="402"/>
      <c r="E17" s="482" t="s">
        <v>877</v>
      </c>
      <c r="F17" s="453"/>
      <c r="G17" s="453"/>
      <c r="H17" s="453"/>
      <c r="I17" s="453"/>
      <c r="J17" s="454"/>
      <c r="K17" s="430"/>
      <c r="L17" s="51"/>
      <c r="M17" s="493" t="s">
        <v>72</v>
      </c>
      <c r="N17" s="512" t="s">
        <v>68</v>
      </c>
      <c r="O17" s="538" t="s">
        <v>70</v>
      </c>
      <c r="P17" s="540"/>
      <c r="Q17" s="538" t="s">
        <v>69</v>
      </c>
      <c r="R17" s="539"/>
      <c r="S17" s="540"/>
      <c r="T17" s="538" t="s">
        <v>71</v>
      </c>
      <c r="U17" s="539"/>
      <c r="V17" s="540"/>
      <c r="W17" s="588" t="s">
        <v>872</v>
      </c>
      <c r="X17" s="512" t="s">
        <v>252</v>
      </c>
      <c r="Y17" s="538" t="s">
        <v>110</v>
      </c>
      <c r="Z17" s="590" t="s">
        <v>663</v>
      </c>
      <c r="AA17" s="385" t="s">
        <v>819</v>
      </c>
      <c r="AB17" s="392" t="s">
        <v>747</v>
      </c>
      <c r="AC17" s="395"/>
    </row>
    <row r="18" spans="1:29" ht="20.149999999999999" customHeight="1" thickBot="1" x14ac:dyDescent="0.75">
      <c r="A18" s="387"/>
      <c r="B18" s="82" t="s">
        <v>192</v>
      </c>
      <c r="C18" s="93">
        <f>SUM(Conformation!C58)</f>
        <v>0</v>
      </c>
      <c r="D18" s="402"/>
      <c r="E18" s="434"/>
      <c r="F18" s="486"/>
      <c r="G18" s="486"/>
      <c r="H18" s="486"/>
      <c r="I18" s="486"/>
      <c r="J18" s="487"/>
      <c r="K18" s="431"/>
      <c r="L18" s="51"/>
      <c r="M18" s="494"/>
      <c r="N18" s="465"/>
      <c r="O18" s="513"/>
      <c r="P18" s="542"/>
      <c r="Q18" s="513"/>
      <c r="R18" s="541"/>
      <c r="S18" s="542"/>
      <c r="T18" s="58" t="s">
        <v>203</v>
      </c>
      <c r="U18" s="58" t="s">
        <v>16</v>
      </c>
      <c r="V18" s="260" t="s">
        <v>549</v>
      </c>
      <c r="W18" s="465"/>
      <c r="X18" s="465"/>
      <c r="Y18" s="513"/>
      <c r="Z18" s="468"/>
      <c r="AA18" s="386"/>
      <c r="AB18" s="393"/>
      <c r="AC18" s="395"/>
    </row>
    <row r="19" spans="1:29" ht="20.149999999999999" customHeight="1" thickTop="1" x14ac:dyDescent="0.6">
      <c r="A19" s="387"/>
      <c r="B19" s="82" t="s">
        <v>193</v>
      </c>
      <c r="C19" s="93">
        <f>SUM(Conformation!D58)</f>
        <v>0</v>
      </c>
      <c r="D19" s="402"/>
      <c r="E19" s="482" t="s">
        <v>194</v>
      </c>
      <c r="F19" s="453"/>
      <c r="G19" s="453"/>
      <c r="H19" s="453"/>
      <c r="I19" s="453"/>
      <c r="J19" s="454"/>
      <c r="K19" s="430"/>
      <c r="L19" s="100"/>
      <c r="M19" s="204"/>
      <c r="N19" s="205"/>
      <c r="O19" s="545"/>
      <c r="P19" s="547"/>
      <c r="Q19" s="545"/>
      <c r="R19" s="546"/>
      <c r="S19" s="546"/>
      <c r="T19" s="205"/>
      <c r="U19" s="205"/>
      <c r="V19" s="299"/>
      <c r="W19" s="217"/>
      <c r="X19" s="205"/>
      <c r="Y19" s="206"/>
      <c r="Z19" s="205"/>
      <c r="AA19" s="206"/>
      <c r="AB19" s="207"/>
      <c r="AC19" s="395"/>
    </row>
    <row r="20" spans="1:29" ht="20.149999999999999" customHeight="1" thickBot="1" x14ac:dyDescent="0.75">
      <c r="A20" s="387"/>
      <c r="B20" s="150" t="s">
        <v>384</v>
      </c>
      <c r="C20" s="164">
        <f>SUM(Conformation!E58)</f>
        <v>0</v>
      </c>
      <c r="D20" s="402"/>
      <c r="E20" s="434"/>
      <c r="F20" s="486"/>
      <c r="G20" s="486"/>
      <c r="H20" s="486"/>
      <c r="I20" s="486"/>
      <c r="J20" s="487"/>
      <c r="K20" s="431"/>
      <c r="L20" s="100"/>
      <c r="M20" s="208"/>
      <c r="N20" s="205"/>
      <c r="O20" s="545"/>
      <c r="P20" s="547"/>
      <c r="Q20" s="545"/>
      <c r="R20" s="546"/>
      <c r="S20" s="546"/>
      <c r="T20" s="205"/>
      <c r="U20" s="205"/>
      <c r="V20" s="299"/>
      <c r="W20" s="217"/>
      <c r="X20" s="205"/>
      <c r="Y20" s="206"/>
      <c r="Z20" s="205"/>
      <c r="AA20" s="206"/>
      <c r="AB20" s="207"/>
      <c r="AC20" s="395"/>
    </row>
    <row r="21" spans="1:29" ht="20.149999999999999" customHeight="1" thickTop="1" x14ac:dyDescent="0.6">
      <c r="A21" s="387"/>
      <c r="B21" s="150" t="s">
        <v>651</v>
      </c>
      <c r="C21" s="164">
        <f>SUM(Field!C32)</f>
        <v>0</v>
      </c>
      <c r="D21" s="402"/>
      <c r="E21" s="489" t="s">
        <v>284</v>
      </c>
      <c r="F21" s="490"/>
      <c r="G21" s="490"/>
      <c r="H21" s="490"/>
      <c r="I21" s="490"/>
      <c r="J21" s="490"/>
      <c r="K21" s="430"/>
      <c r="L21" s="100"/>
      <c r="M21" s="97"/>
      <c r="N21" s="205"/>
      <c r="O21" s="545"/>
      <c r="P21" s="547"/>
      <c r="Q21" s="545"/>
      <c r="R21" s="546"/>
      <c r="S21" s="546"/>
      <c r="T21" s="205"/>
      <c r="U21" s="205"/>
      <c r="V21" s="299"/>
      <c r="W21" s="217"/>
      <c r="X21" s="205"/>
      <c r="Y21" s="206"/>
      <c r="Z21" s="205"/>
      <c r="AA21" s="206"/>
      <c r="AB21" s="207"/>
      <c r="AC21" s="395"/>
    </row>
    <row r="22" spans="1:29" ht="20.149999999999999" customHeight="1" thickBot="1" x14ac:dyDescent="0.75">
      <c r="A22" s="387"/>
      <c r="B22" s="76" t="s">
        <v>652</v>
      </c>
      <c r="C22" s="164">
        <f>SUM(Field!$D$32)</f>
        <v>0</v>
      </c>
      <c r="D22" s="402"/>
      <c r="E22" s="491"/>
      <c r="F22" s="492"/>
      <c r="G22" s="492"/>
      <c r="H22" s="492"/>
      <c r="I22" s="492"/>
      <c r="J22" s="492"/>
      <c r="K22" s="431"/>
      <c r="L22" s="100"/>
      <c r="M22" s="101"/>
      <c r="N22" s="205"/>
      <c r="O22" s="543"/>
      <c r="P22" s="544"/>
      <c r="Q22" s="545"/>
      <c r="R22" s="546"/>
      <c r="S22" s="546"/>
      <c r="T22" s="205"/>
      <c r="U22" s="205"/>
      <c r="V22" s="299"/>
      <c r="W22" s="217"/>
      <c r="X22" s="205"/>
      <c r="Y22" s="206"/>
      <c r="Z22" s="205"/>
      <c r="AA22" s="206"/>
      <c r="AB22" s="207"/>
      <c r="AC22" s="395"/>
    </row>
    <row r="23" spans="1:29" ht="20.149999999999999" customHeight="1" thickTop="1" thickBot="1" x14ac:dyDescent="0.75">
      <c r="A23" s="387"/>
      <c r="B23" s="313" t="s">
        <v>291</v>
      </c>
      <c r="C23" s="151">
        <f>SUM('Junior Showmanship'!C34)</f>
        <v>0</v>
      </c>
      <c r="D23" s="402"/>
      <c r="E23" s="489" t="s">
        <v>212</v>
      </c>
      <c r="F23" s="490"/>
      <c r="G23" s="490"/>
      <c r="H23" s="490"/>
      <c r="I23" s="490"/>
      <c r="J23" s="490"/>
      <c r="K23" s="430"/>
      <c r="L23" s="100"/>
      <c r="M23" s="101"/>
      <c r="N23" s="205"/>
      <c r="O23" s="543"/>
      <c r="P23" s="544"/>
      <c r="Q23" s="548"/>
      <c r="R23" s="548"/>
      <c r="S23" s="548"/>
      <c r="T23" s="205"/>
      <c r="U23" s="205"/>
      <c r="V23" s="299"/>
      <c r="W23" s="218"/>
      <c r="X23" s="209"/>
      <c r="Y23" s="213"/>
      <c r="Z23" s="205"/>
      <c r="AA23" s="206"/>
      <c r="AB23" s="207"/>
      <c r="AC23" s="395"/>
    </row>
    <row r="24" spans="1:29" ht="20.149999999999999" customHeight="1" thickTop="1" thickBot="1" x14ac:dyDescent="0.75">
      <c r="A24" s="387"/>
      <c r="B24" s="76" t="s">
        <v>749</v>
      </c>
      <c r="C24" s="73">
        <f>SUM('Fast Cat'!C30)</f>
        <v>0</v>
      </c>
      <c r="D24" s="402"/>
      <c r="E24" s="491"/>
      <c r="F24" s="492"/>
      <c r="G24" s="492"/>
      <c r="H24" s="492"/>
      <c r="I24" s="492"/>
      <c r="J24" s="492"/>
      <c r="K24" s="431"/>
      <c r="L24" s="81"/>
      <c r="M24" s="101"/>
      <c r="N24" s="206"/>
      <c r="O24" s="446"/>
      <c r="P24" s="447"/>
      <c r="Q24" s="549"/>
      <c r="R24" s="549"/>
      <c r="S24" s="550"/>
      <c r="T24" s="217"/>
      <c r="U24" s="206"/>
      <c r="V24" s="300"/>
      <c r="W24" s="94"/>
      <c r="X24" s="94"/>
      <c r="Y24" s="317"/>
      <c r="Z24" s="205"/>
      <c r="AA24" s="206"/>
      <c r="AB24" s="207"/>
      <c r="AC24" s="395"/>
    </row>
    <row r="25" spans="1:29" ht="20.149999999999999" customHeight="1" thickTop="1" x14ac:dyDescent="0.6">
      <c r="A25" s="387"/>
      <c r="B25" s="76" t="s">
        <v>748</v>
      </c>
      <c r="C25" s="73">
        <f>SUM('Trick Dog'!C18)</f>
        <v>0</v>
      </c>
      <c r="D25" s="402"/>
      <c r="E25" s="489" t="s">
        <v>253</v>
      </c>
      <c r="F25" s="490"/>
      <c r="G25" s="490"/>
      <c r="H25" s="490"/>
      <c r="I25" s="490"/>
      <c r="J25" s="490"/>
      <c r="K25" s="430">
        <v>0</v>
      </c>
      <c r="L25" s="81"/>
      <c r="M25" s="101"/>
      <c r="N25" s="206"/>
      <c r="O25" s="446"/>
      <c r="P25" s="447"/>
      <c r="Q25" s="81"/>
      <c r="R25" s="81"/>
      <c r="S25" s="97"/>
      <c r="T25" s="217"/>
      <c r="U25" s="206"/>
      <c r="V25" s="211"/>
      <c r="W25" s="81"/>
      <c r="X25" s="81"/>
      <c r="Y25" s="317"/>
      <c r="Z25" s="205"/>
      <c r="AA25" s="206"/>
      <c r="AB25" s="207"/>
      <c r="AC25" s="395"/>
    </row>
    <row r="26" spans="1:29" ht="20.149999999999999" customHeight="1" thickBot="1" x14ac:dyDescent="0.75">
      <c r="A26" s="387"/>
      <c r="B26" s="76" t="s">
        <v>747</v>
      </c>
      <c r="C26" s="73">
        <f>SUM('Scent Work'!C42)</f>
        <v>0</v>
      </c>
      <c r="D26" s="402"/>
      <c r="E26" s="491"/>
      <c r="F26" s="492"/>
      <c r="G26" s="492"/>
      <c r="H26" s="492"/>
      <c r="I26" s="492"/>
      <c r="J26" s="492"/>
      <c r="K26" s="431"/>
      <c r="L26" s="81"/>
      <c r="M26" s="101"/>
      <c r="N26" s="206"/>
      <c r="O26" s="446"/>
      <c r="P26" s="447"/>
      <c r="Q26" s="81"/>
      <c r="R26" s="81"/>
      <c r="S26" s="97"/>
      <c r="T26" s="218"/>
      <c r="U26" s="213"/>
      <c r="V26" s="211"/>
      <c r="W26" s="81"/>
      <c r="X26" s="81"/>
      <c r="Y26" s="317"/>
      <c r="Z26" s="205"/>
      <c r="AA26" s="206"/>
      <c r="AB26" s="207"/>
      <c r="AC26" s="395"/>
    </row>
    <row r="27" spans="1:29" ht="20.149999999999999" customHeight="1" thickTop="1" thickBot="1" x14ac:dyDescent="0.75">
      <c r="A27" s="387"/>
      <c r="B27" s="312" t="s">
        <v>74</v>
      </c>
      <c r="C27" s="314">
        <f>SUM(C13:C26)</f>
        <v>0</v>
      </c>
      <c r="D27" s="402"/>
      <c r="E27" s="482" t="s">
        <v>285</v>
      </c>
      <c r="F27" s="495"/>
      <c r="G27" s="495"/>
      <c r="H27" s="495"/>
      <c r="I27" s="495"/>
      <c r="J27" s="496"/>
      <c r="K27" s="430">
        <v>0</v>
      </c>
      <c r="L27" s="81"/>
      <c r="M27" s="101"/>
      <c r="N27" s="101"/>
      <c r="O27" s="536"/>
      <c r="P27" s="537"/>
      <c r="Q27" s="81"/>
      <c r="R27" s="81"/>
      <c r="S27" s="81"/>
      <c r="T27" s="208"/>
      <c r="U27" s="215"/>
      <c r="V27" s="216"/>
      <c r="W27" s="81"/>
      <c r="X27" s="81"/>
      <c r="Y27" s="214"/>
      <c r="Z27" s="210"/>
      <c r="AA27" s="328"/>
      <c r="AB27" s="207"/>
      <c r="AC27" s="395"/>
    </row>
    <row r="28" spans="1:29" ht="20.149999999999999" customHeight="1" thickTop="1" thickBot="1" x14ac:dyDescent="0.75">
      <c r="A28" s="387"/>
      <c r="B28" s="400" t="str">
        <f>SUBSTITUTE('Worker Requirements'!$G$10,,'Worker Requirements'!$G$10)</f>
        <v>Non-Qualifying</v>
      </c>
      <c r="C28" s="401"/>
      <c r="D28" s="320"/>
      <c r="E28" s="497"/>
      <c r="F28" s="497"/>
      <c r="G28" s="497"/>
      <c r="H28" s="497"/>
      <c r="I28" s="497"/>
      <c r="J28" s="498"/>
      <c r="K28" s="431"/>
      <c r="L28" s="488"/>
      <c r="M28" s="488"/>
      <c r="N28" s="101"/>
      <c r="O28" s="81"/>
      <c r="P28" s="81"/>
      <c r="Q28" s="81"/>
      <c r="R28" s="81"/>
      <c r="S28" s="81"/>
      <c r="T28" s="81"/>
      <c r="U28" s="81"/>
      <c r="V28" s="81"/>
      <c r="W28" s="81"/>
      <c r="X28" s="81"/>
      <c r="Y28" s="23"/>
      <c r="Z28" s="18"/>
      <c r="AA28" s="18"/>
      <c r="AB28" s="30"/>
      <c r="AC28" s="395"/>
    </row>
    <row r="29" spans="1:29" ht="20.149999999999999" customHeight="1" thickTop="1" x14ac:dyDescent="0.6">
      <c r="A29" s="387"/>
      <c r="B29" s="464" t="s">
        <v>77</v>
      </c>
      <c r="C29" s="465"/>
      <c r="D29" s="465"/>
      <c r="E29" s="466"/>
      <c r="F29" s="466"/>
      <c r="G29" s="438" t="s">
        <v>79</v>
      </c>
      <c r="H29" s="438"/>
      <c r="I29" s="438"/>
      <c r="J29" s="438"/>
      <c r="K29" s="438"/>
      <c r="L29" s="452" t="s">
        <v>68</v>
      </c>
      <c r="M29" s="454"/>
      <c r="N29" s="438" t="s">
        <v>69</v>
      </c>
      <c r="O29" s="452" t="s">
        <v>72</v>
      </c>
      <c r="P29" s="454"/>
      <c r="Q29" s="452" t="s">
        <v>73</v>
      </c>
      <c r="R29" s="453"/>
      <c r="S29" s="454"/>
      <c r="T29" s="438" t="s">
        <v>71</v>
      </c>
      <c r="U29" s="438" t="s">
        <v>81</v>
      </c>
      <c r="V29" s="438" t="s">
        <v>143</v>
      </c>
      <c r="W29" s="450"/>
      <c r="X29" s="18"/>
      <c r="Y29" s="23"/>
      <c r="Z29" s="18"/>
      <c r="AA29" s="18"/>
      <c r="AB29" s="18"/>
      <c r="AC29" s="395"/>
    </row>
    <row r="30" spans="1:29" ht="20.149999999999999" customHeight="1" x14ac:dyDescent="0.6">
      <c r="A30" s="387"/>
      <c r="B30" s="467"/>
      <c r="C30" s="468"/>
      <c r="D30" s="468"/>
      <c r="E30" s="468"/>
      <c r="F30" s="468"/>
      <c r="G30" s="413"/>
      <c r="H30" s="413"/>
      <c r="I30" s="413"/>
      <c r="J30" s="413"/>
      <c r="K30" s="413"/>
      <c r="L30" s="455"/>
      <c r="M30" s="457"/>
      <c r="N30" s="413"/>
      <c r="O30" s="455"/>
      <c r="P30" s="457"/>
      <c r="Q30" s="455"/>
      <c r="R30" s="456"/>
      <c r="S30" s="457"/>
      <c r="T30" s="413"/>
      <c r="U30" s="413"/>
      <c r="V30" s="413"/>
      <c r="W30" s="414"/>
      <c r="X30" s="18"/>
      <c r="Y30" s="23"/>
      <c r="Z30" s="18"/>
      <c r="AA30" s="18"/>
      <c r="AB30" s="18"/>
      <c r="AC30" s="395"/>
    </row>
    <row r="31" spans="1:29" ht="30" customHeight="1" x14ac:dyDescent="0.6">
      <c r="A31" s="387"/>
      <c r="B31" s="432" t="s">
        <v>295</v>
      </c>
      <c r="C31" s="433"/>
      <c r="D31" s="433"/>
      <c r="E31" s="433"/>
      <c r="F31" s="433"/>
      <c r="G31" s="433" t="s">
        <v>793</v>
      </c>
      <c r="H31" s="433"/>
      <c r="I31" s="433"/>
      <c r="J31" s="433"/>
      <c r="K31" s="433"/>
      <c r="L31" s="411">
        <f>IF('Tabulation Sheet'!P3&gt;=1,1,0)</f>
        <v>0</v>
      </c>
      <c r="M31" s="436"/>
      <c r="N31" s="88">
        <f>IF('Tabulation Sheet'!P7&gt;=1,1,0)</f>
        <v>0</v>
      </c>
      <c r="O31" s="444"/>
      <c r="P31" s="445"/>
      <c r="Q31" s="451">
        <f>IF('Tabulation Sheet'!P5&gt;=1,1,0)</f>
        <v>0</v>
      </c>
      <c r="R31" s="451">
        <f>IF('Tabulation Sheet'!T7&gt;=1,1,0)</f>
        <v>0</v>
      </c>
      <c r="S31" s="451">
        <f>IF('Tabulation Sheet'!U7&gt;=1,1,0)</f>
        <v>0</v>
      </c>
      <c r="T31" s="89"/>
      <c r="U31" s="89"/>
      <c r="V31" s="411" t="str">
        <f>IF(AND(SUM(L31:N31)&gt;=1,Q31&gt;=1,'Tabulation Sheet'!P10=0),"Qualifies","0 or Prior Winner")</f>
        <v>0 or Prior Winner</v>
      </c>
      <c r="W31" s="412"/>
      <c r="X31" s="18"/>
      <c r="Y31" s="23"/>
      <c r="Z31" s="18"/>
      <c r="AA31" s="18"/>
      <c r="AB31" s="18"/>
      <c r="AC31" s="395"/>
    </row>
    <row r="32" spans="1:29" ht="30" customHeight="1" x14ac:dyDescent="0.6">
      <c r="A32" s="387"/>
      <c r="B32" s="432"/>
      <c r="C32" s="433"/>
      <c r="D32" s="433"/>
      <c r="E32" s="433"/>
      <c r="F32" s="433"/>
      <c r="G32" s="433"/>
      <c r="H32" s="433"/>
      <c r="I32" s="433"/>
      <c r="J32" s="433"/>
      <c r="K32" s="433"/>
      <c r="L32" s="411"/>
      <c r="M32" s="436"/>
      <c r="N32" s="87"/>
      <c r="O32" s="411"/>
      <c r="P32" s="436"/>
      <c r="Q32" s="410"/>
      <c r="R32" s="410"/>
      <c r="S32" s="410"/>
      <c r="T32" s="89"/>
      <c r="U32" s="89"/>
      <c r="V32" s="411"/>
      <c r="W32" s="412"/>
      <c r="X32" s="18"/>
      <c r="Y32" s="23"/>
      <c r="Z32" s="18"/>
      <c r="AA32" s="18"/>
      <c r="AB32" s="18"/>
      <c r="AC32" s="395"/>
    </row>
    <row r="33" spans="1:29" ht="30" customHeight="1" x14ac:dyDescent="0.6">
      <c r="A33" s="387"/>
      <c r="B33" s="432" t="s">
        <v>879</v>
      </c>
      <c r="C33" s="433"/>
      <c r="D33" s="433"/>
      <c r="E33" s="433"/>
      <c r="F33" s="433"/>
      <c r="G33" s="433" t="s">
        <v>293</v>
      </c>
      <c r="H33" s="433"/>
      <c r="I33" s="433"/>
      <c r="J33" s="433"/>
      <c r="K33" s="433"/>
      <c r="L33" s="411">
        <f>SUM('Tabulation Sheet'!X3)</f>
        <v>0</v>
      </c>
      <c r="M33" s="436"/>
      <c r="N33" s="87">
        <f>SUM('Tabulation Sheet'!X5)</f>
        <v>0</v>
      </c>
      <c r="O33" s="411">
        <f>SUM('Tabulation Sheet'!V10)</f>
        <v>0</v>
      </c>
      <c r="P33" s="436"/>
      <c r="Q33" s="411">
        <f>SUM('Tabulation Sheet'!X7)</f>
        <v>0</v>
      </c>
      <c r="R33" s="451"/>
      <c r="S33" s="451"/>
      <c r="T33" s="89"/>
      <c r="U33" s="89"/>
      <c r="V33" s="411">
        <f>IF(AND(SUM(L33:N33)&gt;=1,O33=1,Q33=1),"Qualifies",0)</f>
        <v>0</v>
      </c>
      <c r="W33" s="412"/>
      <c r="X33" s="18"/>
      <c r="Y33" s="23"/>
      <c r="Z33" s="18"/>
      <c r="AA33" s="18"/>
      <c r="AB33" s="18"/>
      <c r="AC33" s="395"/>
    </row>
    <row r="34" spans="1:29" ht="30" customHeight="1" thickBot="1" x14ac:dyDescent="0.75">
      <c r="A34" s="387"/>
      <c r="B34" s="522" t="s">
        <v>292</v>
      </c>
      <c r="C34" s="437"/>
      <c r="D34" s="437"/>
      <c r="E34" s="437"/>
      <c r="F34" s="437"/>
      <c r="G34" s="437" t="s">
        <v>294</v>
      </c>
      <c r="H34" s="437"/>
      <c r="I34" s="437"/>
      <c r="J34" s="437"/>
      <c r="K34" s="437"/>
      <c r="L34" s="419">
        <f>IF(SUM(C13+C14+C16+C17&gt;=1),1,0)</f>
        <v>0</v>
      </c>
      <c r="M34" s="420"/>
      <c r="N34" s="90">
        <f>IF(C15&gt;=1,1,0)</f>
        <v>0</v>
      </c>
      <c r="O34" s="419">
        <f>IF(OR(C18&gt;=1,(C19&gt;=1)),1,0)</f>
        <v>0</v>
      </c>
      <c r="P34" s="420">
        <f>IF(OR(O34&gt;=2,(T35&gt;=2)),1,0)</f>
        <v>0</v>
      </c>
      <c r="Q34" s="419">
        <f>IF(C21&gt;=1,1,0)</f>
        <v>0</v>
      </c>
      <c r="R34" s="527"/>
      <c r="S34" s="527">
        <f>IF(H17&gt;=1,1,0)</f>
        <v>0</v>
      </c>
      <c r="T34" s="91"/>
      <c r="U34" s="91"/>
      <c r="V34" s="419">
        <f>IF(AND(SUM(L34:N34)&gt;=1,O34=1,Q34=1,V33="Qualifies"),"Qualifies",0)</f>
        <v>0</v>
      </c>
      <c r="W34" s="526"/>
      <c r="X34" s="18"/>
      <c r="Y34" s="23"/>
      <c r="Z34" s="18"/>
      <c r="AA34" s="18"/>
      <c r="AB34" s="18"/>
      <c r="AC34" s="395"/>
    </row>
    <row r="35" spans="1:29" ht="20.149999999999999" customHeight="1" thickTop="1" thickBot="1" x14ac:dyDescent="0.75">
      <c r="A35" s="387"/>
      <c r="B35" s="30"/>
      <c r="C35" s="18"/>
      <c r="D35" s="18"/>
      <c r="E35" s="18"/>
      <c r="F35" s="18"/>
      <c r="G35" s="16"/>
      <c r="H35" s="16"/>
      <c r="I35" s="16"/>
      <c r="J35" s="16"/>
      <c r="K35" s="16"/>
      <c r="L35" s="16"/>
      <c r="M35" s="18"/>
      <c r="N35" s="18"/>
      <c r="O35" s="18"/>
      <c r="P35" s="18"/>
      <c r="Q35" s="18"/>
      <c r="R35" s="18"/>
      <c r="S35" s="18"/>
      <c r="T35" s="18"/>
      <c r="U35" s="18"/>
      <c r="V35" s="18"/>
      <c r="W35" s="18"/>
      <c r="X35" s="18"/>
      <c r="Y35" s="23"/>
      <c r="Z35" s="18"/>
      <c r="AA35" s="18"/>
      <c r="AB35" s="18"/>
      <c r="AC35" s="395"/>
    </row>
    <row r="36" spans="1:29" ht="20.149999999999999" customHeight="1" thickTop="1" thickBot="1" x14ac:dyDescent="0.75">
      <c r="A36" s="387"/>
      <c r="B36" s="423" t="s">
        <v>80</v>
      </c>
      <c r="C36" s="424"/>
      <c r="D36" s="424"/>
      <c r="E36" s="424"/>
      <c r="F36" s="424"/>
      <c r="G36" s="424"/>
      <c r="H36" s="424"/>
      <c r="I36" s="424"/>
      <c r="J36" s="424"/>
      <c r="K36" s="424"/>
      <c r="L36" s="424"/>
      <c r="M36" s="424"/>
      <c r="N36" s="424"/>
      <c r="O36" s="424"/>
      <c r="P36" s="424"/>
      <c r="Q36" s="424"/>
      <c r="R36" s="424"/>
      <c r="S36" s="424"/>
      <c r="T36" s="424"/>
      <c r="U36" s="424"/>
      <c r="V36" s="424"/>
      <c r="W36" s="424"/>
      <c r="X36" s="425"/>
      <c r="Y36" s="23"/>
      <c r="Z36" s="18"/>
      <c r="AA36" s="18"/>
      <c r="AB36" s="18"/>
      <c r="AC36" s="395"/>
    </row>
    <row r="37" spans="1:29" ht="20.149999999999999" customHeight="1" thickTop="1" thickBot="1" x14ac:dyDescent="0.75">
      <c r="A37" s="387"/>
      <c r="B37" s="523" t="s">
        <v>68</v>
      </c>
      <c r="C37" s="524"/>
      <c r="D37" s="524"/>
      <c r="E37" s="524"/>
      <c r="F37" s="525"/>
      <c r="G37" s="434" t="s">
        <v>143</v>
      </c>
      <c r="H37" s="435"/>
      <c r="I37" s="81"/>
      <c r="J37" s="442" t="s">
        <v>72</v>
      </c>
      <c r="K37" s="443"/>
      <c r="L37" s="443"/>
      <c r="M37" s="443"/>
      <c r="N37" s="443"/>
      <c r="O37" s="530" t="s">
        <v>143</v>
      </c>
      <c r="P37" s="531"/>
      <c r="Q37" s="36"/>
      <c r="R37" s="439" t="s">
        <v>69</v>
      </c>
      <c r="S37" s="440"/>
      <c r="T37" s="440"/>
      <c r="U37" s="440"/>
      <c r="V37" s="441"/>
      <c r="W37" s="532" t="s">
        <v>143</v>
      </c>
      <c r="X37" s="533"/>
      <c r="Y37" s="23"/>
      <c r="Z37" s="18"/>
      <c r="AA37" s="18"/>
      <c r="AB37" s="18"/>
      <c r="AC37" s="395"/>
    </row>
    <row r="38" spans="1:29" ht="20.149999999999999" customHeight="1" thickTop="1" thickBot="1" x14ac:dyDescent="0.75">
      <c r="A38" s="387"/>
      <c r="B38" s="479" t="s">
        <v>113</v>
      </c>
      <c r="C38" s="480"/>
      <c r="D38" s="480"/>
      <c r="E38" s="480"/>
      <c r="F38" s="481"/>
      <c r="G38" s="77" t="str">
        <f>IF(AND('Tabulation Sheet'!$H$27&gt;=1,'Tabulation Sheet'!$H$29="Yes"),"Yes","No")</f>
        <v>No</v>
      </c>
      <c r="H38" s="72">
        <f>IF($G$38="Yes",SUM($C$13:$C$14),0)</f>
        <v>0</v>
      </c>
      <c r="I38" s="81"/>
      <c r="J38" s="408" t="s">
        <v>116</v>
      </c>
      <c r="K38" s="409"/>
      <c r="L38" s="409"/>
      <c r="M38" s="409"/>
      <c r="N38" s="409"/>
      <c r="O38" s="75" t="str">
        <f>IF('Tabulation Sheet'!$V$11&gt;=15,"Yes","No")</f>
        <v>No</v>
      </c>
      <c r="P38" s="72">
        <f>IF($O$38="Yes",SUM($C$18:$C$19),0)</f>
        <v>0</v>
      </c>
      <c r="Q38" s="35"/>
      <c r="R38" s="448" t="s">
        <v>261</v>
      </c>
      <c r="S38" s="438"/>
      <c r="T38" s="438"/>
      <c r="U38" s="438"/>
      <c r="V38" s="438"/>
      <c r="W38" s="438" t="str">
        <f>IF($Q$19="TDX","Yes",IF($Q$20="TDX","Yes",IF($Q$21="TDX","Yes",IF($Q$22="TDX","Yes",IF($Q$23="TDX","Yes","No")))))</f>
        <v>No</v>
      </c>
      <c r="X38" s="450"/>
      <c r="Y38" s="23"/>
      <c r="Z38" s="18"/>
      <c r="AA38" s="18"/>
      <c r="AB38" s="18"/>
      <c r="AC38" s="395"/>
    </row>
    <row r="39" spans="1:29" ht="20.149999999999999" customHeight="1" thickTop="1" x14ac:dyDescent="0.6">
      <c r="A39" s="387"/>
      <c r="B39" s="479" t="s">
        <v>114</v>
      </c>
      <c r="C39" s="480"/>
      <c r="D39" s="480"/>
      <c r="E39" s="480"/>
      <c r="F39" s="481"/>
      <c r="G39" s="76" t="str">
        <f>IF(AND($C$13&gt;=1,$K$11="Yes"),"Yes","No")</f>
        <v>No</v>
      </c>
      <c r="H39" s="73">
        <f>IF($G$39="Yes",$C$13,0)</f>
        <v>0</v>
      </c>
      <c r="I39" s="81"/>
      <c r="J39" s="408" t="s">
        <v>117</v>
      </c>
      <c r="K39" s="409"/>
      <c r="L39" s="409"/>
      <c r="M39" s="409"/>
      <c r="N39" s="409"/>
      <c r="O39" s="82" t="str">
        <f>IF(AND($C$18&gt;=1,'Tabulation Sheet'!$F$21&gt;=1),"Yes","No")</f>
        <v>No</v>
      </c>
      <c r="P39" s="73">
        <f>IF($O$39="Yes",$C$18,0)</f>
        <v>0</v>
      </c>
      <c r="Q39" s="36"/>
      <c r="R39" s="449"/>
      <c r="S39" s="413"/>
      <c r="T39" s="413"/>
      <c r="U39" s="413"/>
      <c r="V39" s="413"/>
      <c r="W39" s="413"/>
      <c r="X39" s="414"/>
      <c r="Y39" s="23"/>
      <c r="Z39" s="18"/>
      <c r="AA39" s="18"/>
      <c r="AB39" s="18"/>
      <c r="AC39" s="395"/>
    </row>
    <row r="40" spans="1:29" ht="30.75" customHeight="1" thickBot="1" x14ac:dyDescent="0.75">
      <c r="A40" s="387"/>
      <c r="B40" s="476" t="s">
        <v>260</v>
      </c>
      <c r="C40" s="477"/>
      <c r="D40" s="477"/>
      <c r="E40" s="477"/>
      <c r="F40" s="478"/>
      <c r="G40" s="77" t="str">
        <f>IF(AND($C$13&gt;=1,$K$21="AM"),"Yes","No")</f>
        <v>No</v>
      </c>
      <c r="H40" s="74">
        <f>IF($G$40="Yes",$C$13,0)</f>
        <v>0</v>
      </c>
      <c r="I40" s="81"/>
      <c r="J40" s="520" t="s">
        <v>118</v>
      </c>
      <c r="K40" s="521"/>
      <c r="L40" s="521"/>
      <c r="M40" s="521"/>
      <c r="N40" s="521"/>
      <c r="O40" s="150" t="str">
        <f>IF(AND('Tabulation Sheet'!$V$11&gt;=1,$D$8="Bitch"),"Yes","No")</f>
        <v>No</v>
      </c>
      <c r="P40" s="151">
        <f>IF($O$40="Yes",SUM($C$18:$C$19),0)</f>
        <v>0</v>
      </c>
      <c r="Q40" s="36"/>
      <c r="R40" s="449" t="s">
        <v>262</v>
      </c>
      <c r="S40" s="413"/>
      <c r="T40" s="413"/>
      <c r="U40" s="413"/>
      <c r="V40" s="413"/>
      <c r="W40" s="413" t="str">
        <f>IF($Q$19="VST","Yes",IF($Q$20="VST","Yes",IF($Q$21="VST","Yes",IF($Q$22="VST","Yes",IF($Q$23="VST","Yes","No")))))</f>
        <v>No</v>
      </c>
      <c r="X40" s="414">
        <f>IF(K22="TDX",1,IF(K23="TDX",1,IF(K14="TDX",1,IF(K29="TDX",1,IF(K30="TDX",1,0)))))</f>
        <v>0</v>
      </c>
      <c r="Y40" s="23"/>
      <c r="Z40" s="18"/>
      <c r="AA40" s="18"/>
      <c r="AB40" s="18"/>
      <c r="AC40" s="395"/>
    </row>
    <row r="41" spans="1:29" ht="20.149999999999999" customHeight="1" thickTop="1" thickBot="1" x14ac:dyDescent="0.75">
      <c r="A41" s="387"/>
      <c r="B41" s="84"/>
      <c r="C41" s="83"/>
      <c r="D41" s="83"/>
      <c r="E41" s="83"/>
      <c r="F41" s="83"/>
      <c r="G41" s="83"/>
      <c r="H41" s="83"/>
      <c r="I41" s="83"/>
      <c r="J41" s="566" t="s">
        <v>302</v>
      </c>
      <c r="K41" s="567"/>
      <c r="L41" s="567"/>
      <c r="M41" s="567"/>
      <c r="N41" s="568"/>
      <c r="O41" s="417" t="str">
        <f>IF(AND('Tabulation Sheet'!$V$11&gt;=1,$D$8="Dog",'Tabulation Sheet'!$F$22&gt;=1),"Yes","No")</f>
        <v>No</v>
      </c>
      <c r="P41" s="428">
        <f>IF($O$41="Yes",SUM($C$18),0)</f>
        <v>0</v>
      </c>
      <c r="Q41" s="18"/>
      <c r="R41" s="449" t="s">
        <v>263</v>
      </c>
      <c r="S41" s="413"/>
      <c r="T41" s="413"/>
      <c r="U41" s="413"/>
      <c r="V41" s="413"/>
      <c r="W41" s="413" t="str">
        <f>IF($Q$19="CT","Yes",IF($Q$20="CT","Yes",IF($Q$21="CT","Yes",IF($Q$22="CT","Yes",IF($Q$23="CT","Yes","No")))))</f>
        <v>No</v>
      </c>
      <c r="X41" s="414"/>
      <c r="Y41" s="23"/>
      <c r="Z41" s="18"/>
      <c r="AA41" s="18"/>
      <c r="AB41" s="18"/>
      <c r="AC41" s="395"/>
    </row>
    <row r="42" spans="1:29" ht="20.149999999999999" customHeight="1" thickTop="1" thickBot="1" x14ac:dyDescent="0.75">
      <c r="A42" s="387"/>
      <c r="B42" s="515" t="s">
        <v>70</v>
      </c>
      <c r="C42" s="516"/>
      <c r="D42" s="516"/>
      <c r="E42" s="516"/>
      <c r="F42" s="517"/>
      <c r="G42" s="528" t="s">
        <v>143</v>
      </c>
      <c r="H42" s="529"/>
      <c r="I42" s="16"/>
      <c r="J42" s="569"/>
      <c r="K42" s="570"/>
      <c r="L42" s="570"/>
      <c r="M42" s="570"/>
      <c r="N42" s="571"/>
      <c r="O42" s="418" t="str">
        <f>IF(AND('Tabulation Sheet'!$V$11&gt;=1,$D$8="Bitch"),"Yes","No")</f>
        <v>No</v>
      </c>
      <c r="P42" s="429">
        <f>IF($O$40="Yes",SUM($C$18:$C$19),0)</f>
        <v>0</v>
      </c>
      <c r="Q42" s="23"/>
      <c r="R42" s="572"/>
      <c r="S42" s="518"/>
      <c r="T42" s="518"/>
      <c r="U42" s="518"/>
      <c r="V42" s="518"/>
      <c r="W42" s="518"/>
      <c r="X42" s="519"/>
      <c r="Y42" s="23"/>
      <c r="Z42" s="18"/>
      <c r="AA42" s="18"/>
      <c r="AB42" s="18"/>
      <c r="AC42" s="395"/>
    </row>
    <row r="43" spans="1:29" ht="20.149999999999999" customHeight="1" thickTop="1" thickBot="1" x14ac:dyDescent="0.8">
      <c r="A43" s="387"/>
      <c r="B43" s="552" t="s">
        <v>264</v>
      </c>
      <c r="C43" s="552"/>
      <c r="D43" s="552"/>
      <c r="E43" s="552"/>
      <c r="F43" s="552"/>
      <c r="G43" s="554" t="str">
        <f>IF($C$16&gt;=1,"Yes","No")</f>
        <v>No</v>
      </c>
      <c r="H43" s="555">
        <f>IF($G$43="Yes",$C$16,0)</f>
        <v>0</v>
      </c>
      <c r="I43" s="16"/>
      <c r="J43" s="16"/>
      <c r="K43" s="16"/>
      <c r="L43" s="16"/>
      <c r="M43" s="18"/>
      <c r="N43" s="18"/>
      <c r="O43" s="18"/>
      <c r="P43" s="18"/>
      <c r="Q43" s="23"/>
      <c r="R43" s="78"/>
      <c r="S43" s="78"/>
      <c r="T43" s="78"/>
      <c r="U43" s="78"/>
      <c r="V43" s="78"/>
      <c r="W43" s="78"/>
      <c r="X43" s="78"/>
      <c r="Y43" s="23"/>
      <c r="Z43" s="18"/>
      <c r="AA43" s="18"/>
      <c r="AB43" s="18"/>
      <c r="AC43" s="395"/>
    </row>
    <row r="44" spans="1:29" ht="20.149999999999999" customHeight="1" thickTop="1" thickBot="1" x14ac:dyDescent="0.75">
      <c r="A44" s="387"/>
      <c r="B44" s="553"/>
      <c r="C44" s="553"/>
      <c r="D44" s="553"/>
      <c r="E44" s="553"/>
      <c r="F44" s="553"/>
      <c r="G44" s="491"/>
      <c r="H44" s="556"/>
      <c r="I44" s="16"/>
      <c r="J44" s="469" t="s">
        <v>120</v>
      </c>
      <c r="K44" s="470"/>
      <c r="L44" s="470"/>
      <c r="M44" s="470"/>
      <c r="N44" s="470"/>
      <c r="O44" s="403" t="s">
        <v>143</v>
      </c>
      <c r="P44" s="405"/>
      <c r="Q44" s="23"/>
      <c r="R44" s="469" t="s">
        <v>73</v>
      </c>
      <c r="S44" s="470"/>
      <c r="T44" s="470"/>
      <c r="U44" s="470"/>
      <c r="V44" s="470"/>
      <c r="W44" s="403" t="s">
        <v>143</v>
      </c>
      <c r="X44" s="405"/>
      <c r="Y44" s="23"/>
      <c r="Z44" s="18"/>
      <c r="AA44" s="18"/>
      <c r="AB44" s="18"/>
      <c r="AC44" s="395"/>
    </row>
    <row r="45" spans="1:29" ht="20.149999999999999" customHeight="1" thickTop="1" thickBot="1" x14ac:dyDescent="0.75">
      <c r="A45" s="387"/>
      <c r="B45" s="18"/>
      <c r="C45" s="18"/>
      <c r="D45" s="18"/>
      <c r="E45" s="18"/>
      <c r="F45" s="18"/>
      <c r="G45" s="16"/>
      <c r="H45" s="16"/>
      <c r="I45" s="16"/>
      <c r="J45" s="520" t="s">
        <v>121</v>
      </c>
      <c r="K45" s="521"/>
      <c r="L45" s="521"/>
      <c r="M45" s="521"/>
      <c r="N45" s="521"/>
      <c r="O45" s="415">
        <f>SUM($K$25)</f>
        <v>0</v>
      </c>
      <c r="P45" s="416"/>
      <c r="Q45" s="27"/>
      <c r="R45" s="408" t="s">
        <v>440</v>
      </c>
      <c r="S45" s="409"/>
      <c r="T45" s="409"/>
      <c r="U45" s="409"/>
      <c r="V45" s="409"/>
      <c r="W45" s="79" t="str">
        <f>IF(AND($K$21="AM",$C$21&gt;4),"Yes","No")</f>
        <v>No</v>
      </c>
      <c r="X45" s="72">
        <f>IF($W$45="Yes",$C$21,0)</f>
        <v>0</v>
      </c>
      <c r="Y45" s="23"/>
      <c r="Z45" s="18"/>
      <c r="AA45" s="18"/>
      <c r="AB45" s="18"/>
      <c r="AC45" s="395"/>
    </row>
    <row r="46" spans="1:29" ht="20.149999999999999" customHeight="1" thickTop="1" thickBot="1" x14ac:dyDescent="0.75">
      <c r="A46" s="387"/>
      <c r="B46" s="415" t="s">
        <v>71</v>
      </c>
      <c r="C46" s="474"/>
      <c r="D46" s="474"/>
      <c r="E46" s="474"/>
      <c r="F46" s="475"/>
      <c r="G46" s="421" t="s">
        <v>143</v>
      </c>
      <c r="H46" s="422"/>
      <c r="I46" s="16"/>
      <c r="J46" s="557" t="s">
        <v>303</v>
      </c>
      <c r="K46" s="558"/>
      <c r="L46" s="558"/>
      <c r="M46" s="558"/>
      <c r="N46" s="559"/>
      <c r="O46" s="426" t="str">
        <f>IF($K$25&gt;=15,"Yes","No")</f>
        <v>No</v>
      </c>
      <c r="P46" s="428">
        <f>SUM($K$25)</f>
        <v>0</v>
      </c>
      <c r="Q46" s="23"/>
      <c r="R46" s="406" t="s">
        <v>653</v>
      </c>
      <c r="S46" s="407"/>
      <c r="T46" s="407"/>
      <c r="U46" s="407"/>
      <c r="V46" s="407"/>
      <c r="W46" s="79" t="str">
        <f>IF(($C$21&gt;4),"Yes","No")</f>
        <v>No</v>
      </c>
      <c r="X46" s="74">
        <f>IF($W$46="Yes",$C$21,0)</f>
        <v>0</v>
      </c>
      <c r="Y46" s="23"/>
      <c r="Z46" s="18"/>
      <c r="AA46" s="18"/>
      <c r="AB46" s="18"/>
      <c r="AC46" s="395"/>
    </row>
    <row r="47" spans="1:29" ht="15" customHeight="1" thickTop="1" thickBot="1" x14ac:dyDescent="0.75">
      <c r="A47" s="387"/>
      <c r="B47" s="471" t="s">
        <v>115</v>
      </c>
      <c r="C47" s="472"/>
      <c r="D47" s="472"/>
      <c r="E47" s="472"/>
      <c r="F47" s="473"/>
      <c r="G47" s="71" t="str">
        <f>IF($C$17&gt;=1,"Yes","No")</f>
        <v>No</v>
      </c>
      <c r="H47" s="85">
        <f>IF($G$47="Yes",$C$17,0)</f>
        <v>0</v>
      </c>
      <c r="I47" s="16"/>
      <c r="J47" s="560"/>
      <c r="K47" s="561"/>
      <c r="L47" s="561"/>
      <c r="M47" s="561"/>
      <c r="N47" s="562"/>
      <c r="O47" s="427" t="str">
        <f>IF('Tabulation Sheet'!$V$11&gt;=15,"Yes","No")</f>
        <v>No</v>
      </c>
      <c r="P47" s="429">
        <f>SUM($K$25)</f>
        <v>0</v>
      </c>
      <c r="Q47" s="18"/>
      <c r="R47" s="406" t="s">
        <v>119</v>
      </c>
      <c r="S47" s="407"/>
      <c r="T47" s="407"/>
      <c r="U47" s="407"/>
      <c r="V47" s="407"/>
      <c r="W47" s="80" t="str">
        <f>IF(AND($K$15="Yes",$K$17="Yes"),"Yes","No")</f>
        <v>No</v>
      </c>
      <c r="X47" s="74">
        <f>IF($W$46="Yes",$C$21,0)</f>
        <v>0</v>
      </c>
      <c r="Y47" s="23"/>
      <c r="Z47" s="18"/>
      <c r="AA47" s="18"/>
      <c r="AB47" s="18"/>
      <c r="AC47" s="395"/>
    </row>
    <row r="48" spans="1:29" ht="15" customHeight="1" thickTop="1" thickBot="1" x14ac:dyDescent="0.75">
      <c r="A48" s="387"/>
      <c r="B48" s="83"/>
      <c r="C48" s="83"/>
      <c r="D48" s="83"/>
      <c r="E48" s="83"/>
      <c r="F48" s="83"/>
      <c r="G48" s="81"/>
      <c r="H48" s="81"/>
      <c r="I48" s="16"/>
      <c r="J48" s="81"/>
      <c r="K48" s="81"/>
      <c r="L48" s="81"/>
      <c r="M48" s="81"/>
      <c r="N48" s="81"/>
      <c r="O48" s="83"/>
      <c r="P48" s="83"/>
      <c r="Q48" s="18"/>
      <c r="R48" s="459"/>
      <c r="S48" s="459"/>
      <c r="T48" s="459"/>
      <c r="U48" s="459"/>
      <c r="V48" s="459"/>
      <c r="W48" s="459"/>
      <c r="X48" s="459"/>
      <c r="Y48" s="23"/>
      <c r="Z48" s="18"/>
      <c r="AA48" s="18"/>
      <c r="AB48" s="18"/>
      <c r="AC48" s="395"/>
    </row>
    <row r="49" spans="1:29" ht="15" customHeight="1" thickTop="1" thickBot="1" x14ac:dyDescent="0.75">
      <c r="A49" s="387"/>
      <c r="B49" s="587" t="s">
        <v>768</v>
      </c>
      <c r="C49" s="453"/>
      <c r="D49" s="453"/>
      <c r="E49" s="453"/>
      <c r="F49" s="483"/>
      <c r="G49" s="421" t="s">
        <v>143</v>
      </c>
      <c r="H49" s="422"/>
      <c r="I49" s="16"/>
      <c r="J49" s="81"/>
      <c r="K49" s="81"/>
      <c r="L49" s="81"/>
      <c r="M49" s="81"/>
      <c r="N49" s="81"/>
      <c r="O49" s="83"/>
      <c r="P49" s="83"/>
      <c r="Q49" s="18"/>
      <c r="R49" s="403" t="s">
        <v>370</v>
      </c>
      <c r="S49" s="404"/>
      <c r="T49" s="404"/>
      <c r="U49" s="404"/>
      <c r="V49" s="404"/>
      <c r="W49" s="403" t="s">
        <v>143</v>
      </c>
      <c r="X49" s="405"/>
      <c r="Y49" s="23"/>
      <c r="Z49" s="18"/>
      <c r="AA49" s="18"/>
      <c r="AB49" s="18"/>
      <c r="AC49" s="395"/>
    </row>
    <row r="50" spans="1:29" ht="15" customHeight="1" thickTop="1" thickBot="1" x14ac:dyDescent="0.75">
      <c r="A50" s="387"/>
      <c r="B50" s="434"/>
      <c r="C50" s="486"/>
      <c r="D50" s="486"/>
      <c r="E50" s="486"/>
      <c r="F50" s="435"/>
      <c r="G50" s="71" t="str">
        <f>IF($C$26&gt;=1,"Yes","No")</f>
        <v>No</v>
      </c>
      <c r="H50" s="85">
        <f>SUM($C$26)</f>
        <v>0</v>
      </c>
      <c r="I50" s="16"/>
      <c r="J50" s="81"/>
      <c r="K50" s="81"/>
      <c r="L50" s="81"/>
      <c r="M50" s="81"/>
      <c r="N50" s="81"/>
      <c r="O50" s="83"/>
      <c r="P50" s="83"/>
      <c r="Q50" s="18"/>
      <c r="R50" s="403" t="s">
        <v>369</v>
      </c>
      <c r="S50" s="404"/>
      <c r="T50" s="404"/>
      <c r="U50" s="404"/>
      <c r="V50" s="404"/>
      <c r="W50" s="302" t="str">
        <f>IF(AND($K$13="Yes",'Tabulation Sheet'!AC18),"Yes","No")</f>
        <v>No</v>
      </c>
      <c r="X50" s="303">
        <f>IF($W$50="Yes",Conformation!E58,0)</f>
        <v>0</v>
      </c>
      <c r="Y50" s="23"/>
      <c r="Z50" s="18"/>
      <c r="AA50" s="18"/>
      <c r="AB50" s="18"/>
      <c r="AC50" s="395"/>
    </row>
    <row r="51" spans="1:29" ht="14.25" customHeight="1" thickTop="1" thickBot="1" x14ac:dyDescent="0.75">
      <c r="A51" s="387"/>
      <c r="B51" s="18"/>
      <c r="C51" s="18"/>
      <c r="D51" s="18"/>
      <c r="E51" s="18"/>
      <c r="F51" s="18"/>
      <c r="G51" s="16"/>
      <c r="H51" s="16"/>
      <c r="I51" s="16"/>
      <c r="J51" s="16"/>
      <c r="K51" s="16"/>
      <c r="L51" s="16"/>
      <c r="M51" s="18"/>
      <c r="N51" s="18"/>
      <c r="O51" s="18"/>
      <c r="P51" s="18"/>
      <c r="Q51" s="18"/>
      <c r="R51" s="18"/>
      <c r="S51" s="18"/>
      <c r="T51" s="18"/>
      <c r="U51" s="18"/>
      <c r="V51" s="18"/>
      <c r="W51" s="18"/>
      <c r="X51" s="18"/>
      <c r="Y51" s="23"/>
      <c r="Z51" s="18"/>
      <c r="AA51" s="18"/>
      <c r="AB51" s="18"/>
      <c r="AC51" s="395"/>
    </row>
    <row r="52" spans="1:29" ht="17" thickTop="1" thickBot="1" x14ac:dyDescent="0.75">
      <c r="A52" s="387"/>
      <c r="B52" s="469" t="s">
        <v>122</v>
      </c>
      <c r="C52" s="470"/>
      <c r="D52" s="470"/>
      <c r="E52" s="470"/>
      <c r="F52" s="470"/>
      <c r="G52" s="403" t="s">
        <v>143</v>
      </c>
      <c r="H52" s="405"/>
      <c r="I52" s="16"/>
      <c r="J52" s="460" t="s">
        <v>346</v>
      </c>
      <c r="K52" s="460"/>
      <c r="L52" s="460"/>
      <c r="M52" s="460"/>
      <c r="N52" s="460"/>
      <c r="O52" s="165" t="s">
        <v>97</v>
      </c>
      <c r="P52" s="165" t="s">
        <v>348</v>
      </c>
      <c r="Q52" s="18"/>
      <c r="R52" s="460" t="s">
        <v>347</v>
      </c>
      <c r="S52" s="460"/>
      <c r="T52" s="460"/>
      <c r="U52" s="460"/>
      <c r="V52" s="460"/>
      <c r="W52" s="462">
        <f>COUNTIF(Conformation!$Q$12:$Q$56,"1st")</f>
        <v>0</v>
      </c>
      <c r="X52" s="18"/>
      <c r="Y52" s="23"/>
      <c r="Z52" s="18"/>
      <c r="AA52" s="18"/>
      <c r="AB52" s="18"/>
      <c r="AC52" s="395"/>
    </row>
    <row r="53" spans="1:29" ht="17" thickTop="1" thickBot="1" x14ac:dyDescent="0.75">
      <c r="A53" s="387"/>
      <c r="B53" s="406" t="s">
        <v>123</v>
      </c>
      <c r="C53" s="407"/>
      <c r="D53" s="407"/>
      <c r="E53" s="407"/>
      <c r="F53" s="407"/>
      <c r="G53" s="80" t="str">
        <f>IF($K$19="Yes","Yes","No")</f>
        <v>No</v>
      </c>
      <c r="H53" s="86">
        <f>IF($G$53="Yes",$C$22,0)</f>
        <v>0</v>
      </c>
      <c r="I53" s="16"/>
      <c r="J53" s="461"/>
      <c r="K53" s="461"/>
      <c r="L53" s="461"/>
      <c r="M53" s="461"/>
      <c r="N53" s="461"/>
      <c r="O53" s="165">
        <f>COUNTIF(Conformation!$R$12:$R$56,"BIS")</f>
        <v>0</v>
      </c>
      <c r="P53" s="165">
        <f>COUNTIF(Conformation!$R$12:$R$56,"BISS")</f>
        <v>0</v>
      </c>
      <c r="Q53" s="18"/>
      <c r="R53" s="461"/>
      <c r="S53" s="461"/>
      <c r="T53" s="461"/>
      <c r="U53" s="461"/>
      <c r="V53" s="461"/>
      <c r="W53" s="463"/>
      <c r="X53" s="18"/>
      <c r="Y53" s="23"/>
      <c r="Z53" s="18"/>
      <c r="AA53" s="18"/>
      <c r="AB53" s="18"/>
      <c r="AC53" s="395"/>
    </row>
    <row r="54" spans="1:29" ht="14.5" thickTop="1" thickBot="1" x14ac:dyDescent="0.75">
      <c r="A54" s="551"/>
      <c r="B54" s="458"/>
      <c r="C54" s="458"/>
      <c r="D54" s="458"/>
      <c r="E54" s="458"/>
      <c r="F54" s="458"/>
      <c r="G54" s="458"/>
      <c r="H54" s="458"/>
      <c r="I54" s="458"/>
      <c r="J54" s="458"/>
      <c r="K54" s="458"/>
      <c r="L54" s="458"/>
      <c r="M54" s="458"/>
      <c r="N54" s="458"/>
      <c r="O54" s="458"/>
      <c r="P54" s="458"/>
      <c r="Q54" s="458"/>
      <c r="R54" s="458"/>
      <c r="S54" s="458"/>
      <c r="T54" s="458"/>
      <c r="U54" s="458"/>
      <c r="V54" s="458"/>
      <c r="W54" s="458"/>
      <c r="X54" s="458"/>
      <c r="Y54" s="155"/>
      <c r="Z54" s="22"/>
      <c r="AA54" s="22"/>
      <c r="AB54" s="22"/>
      <c r="AC54" s="396"/>
    </row>
    <row r="55" spans="1:29" ht="16.25" thickTop="1" x14ac:dyDescent="0.6">
      <c r="I55" s="152"/>
    </row>
    <row r="56" spans="1:29" ht="15.25" x14ac:dyDescent="0.65">
      <c r="I56" s="153"/>
      <c r="J56" s="153"/>
      <c r="K56" s="153"/>
      <c r="L56" s="153"/>
      <c r="M56" s="153"/>
      <c r="N56" s="153"/>
      <c r="O56" s="153"/>
      <c r="P56" s="153"/>
    </row>
    <row r="57" spans="1:29" ht="15.5" x14ac:dyDescent="0.6">
      <c r="I57" s="152"/>
    </row>
    <row r="58" spans="1:29" ht="15.5" x14ac:dyDescent="0.6">
      <c r="G58"/>
      <c r="H58"/>
      <c r="I58"/>
      <c r="J58"/>
      <c r="R58" s="192"/>
      <c r="S58" s="193"/>
      <c r="T58" s="193"/>
      <c r="U58" s="193"/>
      <c r="V58" s="193"/>
    </row>
    <row r="59" spans="1:29" ht="15.5" x14ac:dyDescent="0.6">
      <c r="R59" s="192"/>
      <c r="S59" s="2"/>
      <c r="T59" s="2"/>
      <c r="U59" s="2"/>
      <c r="V59" s="2"/>
    </row>
    <row r="60" spans="1:29" ht="15.5" x14ac:dyDescent="0.6">
      <c r="E60" s="220"/>
      <c r="F60" s="221"/>
      <c r="G60" s="221"/>
      <c r="H60" s="221"/>
      <c r="I60" s="221"/>
      <c r="J60" s="221"/>
    </row>
  </sheetData>
  <sheetProtection algorithmName="SHA-512" hashValue="SQsyV1+yNpLxChK9T0Sutdk5easXoi1ac3CzGxNu1AmQj1agXvp6eY8IhCr5xVEGvLVcDc7D2ANfPkMNNCxV1w==" saltValue="GG4Gkpyd3wObawWyeN+v7w==" spinCount="100000" sheet="1" objects="1" scenarios="1"/>
  <mergeCells count="183">
    <mergeCell ref="B6:C6"/>
    <mergeCell ref="B49:F50"/>
    <mergeCell ref="W3:W4"/>
    <mergeCell ref="O17:P18"/>
    <mergeCell ref="Z3:Z4"/>
    <mergeCell ref="Z17:Z18"/>
    <mergeCell ref="N17:N18"/>
    <mergeCell ref="Q20:S20"/>
    <mergeCell ref="Q21:S21"/>
    <mergeCell ref="T3:V3"/>
    <mergeCell ref="O19:P19"/>
    <mergeCell ref="W17:W18"/>
    <mergeCell ref="O3:P4"/>
    <mergeCell ref="X3:X4"/>
    <mergeCell ref="Q3:S4"/>
    <mergeCell ref="Q5:S5"/>
    <mergeCell ref="O9:P9"/>
    <mergeCell ref="Q11:S11"/>
    <mergeCell ref="Q10:S10"/>
    <mergeCell ref="O10:P10"/>
    <mergeCell ref="O8:P8"/>
    <mergeCell ref="Q8:S8"/>
    <mergeCell ref="Y17:Y18"/>
    <mergeCell ref="O21:P21"/>
    <mergeCell ref="X17:X18"/>
    <mergeCell ref="A2:A54"/>
    <mergeCell ref="B43:F44"/>
    <mergeCell ref="G43:G44"/>
    <mergeCell ref="H43:H44"/>
    <mergeCell ref="J46:N47"/>
    <mergeCell ref="D7:K7"/>
    <mergeCell ref="B5:C5"/>
    <mergeCell ref="B7:C7"/>
    <mergeCell ref="U29:U30"/>
    <mergeCell ref="Q22:S22"/>
    <mergeCell ref="Q13:S13"/>
    <mergeCell ref="Q12:S12"/>
    <mergeCell ref="O12:P12"/>
    <mergeCell ref="J45:N45"/>
    <mergeCell ref="J41:N42"/>
    <mergeCell ref="O20:P20"/>
    <mergeCell ref="O44:P44"/>
    <mergeCell ref="R41:V42"/>
    <mergeCell ref="R44:V44"/>
    <mergeCell ref="B2:K4"/>
    <mergeCell ref="D5:K5"/>
    <mergeCell ref="M3:M4"/>
    <mergeCell ref="G49:H49"/>
    <mergeCell ref="O7:P7"/>
    <mergeCell ref="O5:P5"/>
    <mergeCell ref="T17:V17"/>
    <mergeCell ref="Q9:S9"/>
    <mergeCell ref="O11:P11"/>
    <mergeCell ref="O25:P25"/>
    <mergeCell ref="Q23:S23"/>
    <mergeCell ref="Q24:S24"/>
    <mergeCell ref="O29:P30"/>
    <mergeCell ref="O13:P13"/>
    <mergeCell ref="O22:P22"/>
    <mergeCell ref="Q19:S19"/>
    <mergeCell ref="O14:P14"/>
    <mergeCell ref="Q6:S6"/>
    <mergeCell ref="O6:P6"/>
    <mergeCell ref="N3:N4"/>
    <mergeCell ref="Y3:Y4"/>
    <mergeCell ref="B42:F42"/>
    <mergeCell ref="P41:P42"/>
    <mergeCell ref="W41:X42"/>
    <mergeCell ref="R40:V40"/>
    <mergeCell ref="Q31:S31"/>
    <mergeCell ref="O32:P32"/>
    <mergeCell ref="O33:P33"/>
    <mergeCell ref="J40:N40"/>
    <mergeCell ref="B34:F34"/>
    <mergeCell ref="B37:F37"/>
    <mergeCell ref="V34:W34"/>
    <mergeCell ref="Q34:S34"/>
    <mergeCell ref="G42:H42"/>
    <mergeCell ref="B39:F39"/>
    <mergeCell ref="O37:P37"/>
    <mergeCell ref="W37:X37"/>
    <mergeCell ref="B8:C8"/>
    <mergeCell ref="O27:P27"/>
    <mergeCell ref="Q17:S18"/>
    <mergeCell ref="O23:P23"/>
    <mergeCell ref="O24:P24"/>
    <mergeCell ref="Q7:S7"/>
    <mergeCell ref="D8:K8"/>
    <mergeCell ref="D9:K9"/>
    <mergeCell ref="E21:J22"/>
    <mergeCell ref="E15:J16"/>
    <mergeCell ref="K17:K18"/>
    <mergeCell ref="K21:K22"/>
    <mergeCell ref="L33:M33"/>
    <mergeCell ref="E11:J11"/>
    <mergeCell ref="E12:J12"/>
    <mergeCell ref="L31:M31"/>
    <mergeCell ref="E14:J14"/>
    <mergeCell ref="E13:J13"/>
    <mergeCell ref="K15:K16"/>
    <mergeCell ref="B11:C12"/>
    <mergeCell ref="B9:C9"/>
    <mergeCell ref="E19:J20"/>
    <mergeCell ref="E17:J18"/>
    <mergeCell ref="L28:M28"/>
    <mergeCell ref="E23:J24"/>
    <mergeCell ref="M17:M18"/>
    <mergeCell ref="E25:J26"/>
    <mergeCell ref="K25:K26"/>
    <mergeCell ref="E27:J28"/>
    <mergeCell ref="K27:K28"/>
    <mergeCell ref="B54:X54"/>
    <mergeCell ref="B53:F53"/>
    <mergeCell ref="W48:X48"/>
    <mergeCell ref="R48:V48"/>
    <mergeCell ref="R50:V50"/>
    <mergeCell ref="J52:N53"/>
    <mergeCell ref="R52:V53"/>
    <mergeCell ref="W52:W53"/>
    <mergeCell ref="G29:K30"/>
    <mergeCell ref="G31:K31"/>
    <mergeCell ref="B29:F30"/>
    <mergeCell ref="J44:N44"/>
    <mergeCell ref="B47:F47"/>
    <mergeCell ref="B46:F46"/>
    <mergeCell ref="B40:F40"/>
    <mergeCell ref="B38:F38"/>
    <mergeCell ref="G33:K33"/>
    <mergeCell ref="G52:H52"/>
    <mergeCell ref="B52:F52"/>
    <mergeCell ref="L29:M30"/>
    <mergeCell ref="W44:X44"/>
    <mergeCell ref="T29:T30"/>
    <mergeCell ref="V29:W30"/>
    <mergeCell ref="J39:N39"/>
    <mergeCell ref="B36:X36"/>
    <mergeCell ref="O46:O47"/>
    <mergeCell ref="P46:P47"/>
    <mergeCell ref="V33:W33"/>
    <mergeCell ref="K23:K24"/>
    <mergeCell ref="K19:K20"/>
    <mergeCell ref="B31:F31"/>
    <mergeCell ref="J38:N38"/>
    <mergeCell ref="G37:H37"/>
    <mergeCell ref="L32:M32"/>
    <mergeCell ref="G34:K34"/>
    <mergeCell ref="B32:F32"/>
    <mergeCell ref="N29:N30"/>
    <mergeCell ref="G32:K32"/>
    <mergeCell ref="R37:V37"/>
    <mergeCell ref="J37:N37"/>
    <mergeCell ref="B33:F33"/>
    <mergeCell ref="V31:W31"/>
    <mergeCell ref="O31:P31"/>
    <mergeCell ref="O26:P26"/>
    <mergeCell ref="R38:V39"/>
    <mergeCell ref="W38:X39"/>
    <mergeCell ref="Q33:S33"/>
    <mergeCell ref="Q29:S30"/>
    <mergeCell ref="D6:K6"/>
    <mergeCell ref="AA3:AA4"/>
    <mergeCell ref="AA17:AA18"/>
    <mergeCell ref="A1:AC1"/>
    <mergeCell ref="M2:AB2"/>
    <mergeCell ref="AB3:AB4"/>
    <mergeCell ref="AC2:AC54"/>
    <mergeCell ref="M16:AB16"/>
    <mergeCell ref="AB17:AB18"/>
    <mergeCell ref="B28:C28"/>
    <mergeCell ref="D11:D27"/>
    <mergeCell ref="R49:V49"/>
    <mergeCell ref="W49:X49"/>
    <mergeCell ref="R47:V47"/>
    <mergeCell ref="R45:V45"/>
    <mergeCell ref="Q32:S32"/>
    <mergeCell ref="V32:W32"/>
    <mergeCell ref="W40:X40"/>
    <mergeCell ref="O45:P45"/>
    <mergeCell ref="O41:O42"/>
    <mergeCell ref="O34:P34"/>
    <mergeCell ref="R46:V46"/>
    <mergeCell ref="G46:H46"/>
    <mergeCell ref="L34:M34"/>
  </mergeCells>
  <phoneticPr fontId="2" type="noConversion"/>
  <dataValidations count="11">
    <dataValidation type="list" allowBlank="1" showInputMessage="1" showErrorMessage="1" sqref="W19:W23 W5:W10" xr:uid="{00000000-0002-0000-0100-000000000000}">
      <formula1>Hunt</formula1>
    </dataValidation>
    <dataValidation type="list" allowBlank="1" showInputMessage="1" showErrorMessage="1" sqref="X19:X23 X5:X10" xr:uid="{00000000-0002-0000-0100-000001000000}">
      <formula1>_VCD1</formula1>
    </dataValidation>
    <dataValidation type="list" allowBlank="1" showInputMessage="1" showErrorMessage="1" sqref="D8:K8" xr:uid="{00000000-0002-0000-0100-000002000000}">
      <formula1>Sex</formula1>
    </dataValidation>
    <dataValidation type="list" allowBlank="1" showInputMessage="1" showErrorMessage="1" sqref="K23:K24 K11:K20" xr:uid="{00000000-0002-0000-0100-000003000000}">
      <formula1>YN</formula1>
    </dataValidation>
    <dataValidation type="list" allowBlank="1" showInputMessage="1" showErrorMessage="1" sqref="T19:T27 T5:T14" xr:uid="{00000000-0002-0000-0100-000006000000}">
      <formula1>AgilitySTD</formula1>
    </dataValidation>
    <dataValidation type="list" allowBlank="1" showInputMessage="1" showErrorMessage="1" sqref="U5:U14 U19:U27" xr:uid="{00000000-0002-0000-0100-000007000000}">
      <formula1>JWW</formula1>
    </dataValidation>
    <dataValidation type="list" allowBlank="1" showInputMessage="1" showErrorMessage="1" sqref="Q19:S23 Q5:Q10 R5:S5 R7:S10" xr:uid="{00000000-0002-0000-0100-000008000000}">
      <formula1>Tracking</formula1>
    </dataValidation>
    <dataValidation type="list" allowBlank="1" showInputMessage="1" showErrorMessage="1" sqref="K21" xr:uid="{00000000-0002-0000-0100-000009000000}">
      <formula1>AMPRO</formula1>
    </dataValidation>
    <dataValidation type="list" allowBlank="1" showInputMessage="1" showErrorMessage="1" sqref="V5:V14 V19:V27" xr:uid="{00000000-0002-0000-0100-00000A000000}">
      <formula1>FAST</formula1>
    </dataValidation>
    <dataValidation type="list" allowBlank="1" showInputMessage="1" showErrorMessage="1" sqref="N19:N26 N5:N13" xr:uid="{00000000-0002-0000-0100-00000B000000}">
      <formula1>Obedience1</formula1>
    </dataValidation>
    <dataValidation type="list" allowBlank="1" showInputMessage="1" showErrorMessage="1" sqref="AA5:AA14 AA19:AA27" xr:uid="{93E48B6A-2737-44A9-8210-1161A0A5A29F}">
      <formula1>Treiball</formula1>
    </dataValidation>
  </dataValidations>
  <printOptions horizontalCentered="1" verticalCentered="1"/>
  <pageMargins left="0.25" right="0.25" top="0.25" bottom="0.25" header="0" footer="0"/>
  <pageSetup scale="46" orientation="landscape" horizontalDpi="4294967293" r:id="rId1"/>
  <headerFooter alignWithMargins="0"/>
  <extLst>
    <ext xmlns:x14="http://schemas.microsoft.com/office/spreadsheetml/2009/9/main" uri="{CCE6A557-97BC-4b89-ADB6-D9C93CAAB3DF}">
      <x14:dataValidations xmlns:xm="http://schemas.microsoft.com/office/excel/2006/main" count="5">
        <x14:dataValidation type="list" allowBlank="1" showInputMessage="1" showErrorMessage="1" xr:uid="{00000000-0002-0000-0100-000004000000}">
          <x14:formula1>
            <xm:f>'Pull Down Menus'!$A$1:$A$7</xm:f>
          </x14:formula1>
          <xm:sqref>M19:M20</xm:sqref>
        </x14:dataValidation>
        <x14:dataValidation type="list" allowBlank="1" showInputMessage="1" showErrorMessage="1" xr:uid="{00000000-0002-0000-0100-000005000000}">
          <x14:formula1>
            <xm:f>'Pull Down Menus'!$C$1:$C$36</xm:f>
          </x14:formula1>
          <xm:sqref>O19:P27 O5:O14 P5 P7:P14</xm:sqref>
        </x14:dataValidation>
        <x14:dataValidation type="list" allowBlank="1" showInputMessage="1" showErrorMessage="1" xr:uid="{A8F3ABEA-4F4A-4E45-969E-DC9FE5FCECFE}">
          <x14:formula1>
            <xm:f>'Pull Down Menus'!$AI$1:$AI$7</xm:f>
          </x14:formula1>
          <xm:sqref>Z5:Z14</xm:sqref>
        </x14:dataValidation>
        <x14:dataValidation type="list" allowBlank="1" showInputMessage="1" showErrorMessage="1" xr:uid="{5D4B6333-7526-475E-A7CB-1BA1590482A5}">
          <x14:formula1>
            <xm:f>'Pull Down Menus'!$AJ$1:$AJ$49</xm:f>
          </x14:formula1>
          <xm:sqref>AB5:AB14 AB19:AB27</xm:sqref>
        </x14:dataValidation>
        <x14:dataValidation type="list" allowBlank="1" showInputMessage="1" showErrorMessage="1" xr:uid="{85576695-FC6E-4E4F-A5E6-10F10B88FF73}">
          <x14:formula1>
            <xm:f>'Pull Down Menus'!$A$1:$A$7</xm:f>
          </x14:formula1>
          <xm:sqref>M5:M7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Y102"/>
  <sheetViews>
    <sheetView topLeftCell="A43" zoomScale="82" zoomScaleNormal="82" workbookViewId="0">
      <selection activeCell="G94" sqref="G94"/>
    </sheetView>
  </sheetViews>
  <sheetFormatPr defaultColWidth="8.76953125" defaultRowHeight="13" x14ac:dyDescent="0.6"/>
  <cols>
    <col min="6" max="6" width="35.6796875" customWidth="1"/>
    <col min="7" max="7" width="25" customWidth="1"/>
    <col min="8" max="8" width="14.76953125" customWidth="1"/>
    <col min="9" max="9" width="13.08984375" customWidth="1"/>
  </cols>
  <sheetData>
    <row r="1" spans="1:25" ht="13.75" thickBot="1" x14ac:dyDescent="0.75">
      <c r="A1" s="624"/>
      <c r="B1" s="624"/>
      <c r="C1" s="624"/>
      <c r="D1" s="624"/>
      <c r="E1" s="624"/>
      <c r="F1" s="624"/>
      <c r="G1" s="624"/>
      <c r="H1" s="624"/>
      <c r="I1" s="624"/>
      <c r="J1" s="624"/>
      <c r="K1" s="624"/>
      <c r="L1" s="624"/>
      <c r="M1" s="624"/>
      <c r="N1" s="624"/>
      <c r="O1" s="624"/>
      <c r="P1" s="624"/>
    </row>
    <row r="2" spans="1:25" ht="13.75" thickTop="1" x14ac:dyDescent="0.6">
      <c r="A2" s="624"/>
      <c r="B2" s="625" t="s">
        <v>463</v>
      </c>
      <c r="C2" s="626"/>
      <c r="D2" s="627"/>
      <c r="E2" s="627"/>
      <c r="F2" s="627"/>
      <c r="G2" s="627"/>
      <c r="H2" s="627"/>
      <c r="I2" s="627"/>
      <c r="J2" s="627"/>
      <c r="K2" s="627"/>
      <c r="L2" s="627"/>
      <c r="M2" s="628"/>
      <c r="N2" s="635"/>
      <c r="O2" s="624"/>
      <c r="P2" s="230"/>
    </row>
    <row r="3" spans="1:25" x14ac:dyDescent="0.6">
      <c r="A3" s="624"/>
      <c r="B3" s="629"/>
      <c r="C3" s="630"/>
      <c r="D3" s="630"/>
      <c r="E3" s="630"/>
      <c r="F3" s="630"/>
      <c r="G3" s="630"/>
      <c r="H3" s="630"/>
      <c r="I3" s="630"/>
      <c r="J3" s="630"/>
      <c r="K3" s="630"/>
      <c r="L3" s="630"/>
      <c r="M3" s="631"/>
      <c r="N3" s="635"/>
      <c r="O3" s="624"/>
      <c r="P3" s="230"/>
    </row>
    <row r="4" spans="1:25" ht="13.75" thickBot="1" x14ac:dyDescent="0.75">
      <c r="A4" s="624"/>
      <c r="B4" s="632"/>
      <c r="C4" s="633"/>
      <c r="D4" s="633"/>
      <c r="E4" s="633"/>
      <c r="F4" s="633"/>
      <c r="G4" s="633"/>
      <c r="H4" s="633"/>
      <c r="I4" s="633"/>
      <c r="J4" s="633"/>
      <c r="K4" s="633"/>
      <c r="L4" s="633"/>
      <c r="M4" s="634"/>
      <c r="N4" s="636"/>
      <c r="O4" s="637"/>
      <c r="P4" s="230"/>
    </row>
    <row r="5" spans="1:25" ht="17" thickTop="1" thickBot="1" x14ac:dyDescent="0.85">
      <c r="A5" s="624"/>
      <c r="B5" s="638" t="s">
        <v>509</v>
      </c>
      <c r="C5" s="639"/>
      <c r="D5" s="639"/>
      <c r="E5" s="640"/>
      <c r="F5" s="604" t="str">
        <f>SUBSTITUTE(Summary!$D$5,,Summary!$D$5)</f>
        <v/>
      </c>
      <c r="G5" s="605"/>
      <c r="H5" s="605"/>
      <c r="I5" s="605"/>
      <c r="J5" s="605"/>
      <c r="K5" s="605"/>
      <c r="L5" s="605"/>
      <c r="M5" s="605"/>
      <c r="N5" s="605"/>
      <c r="O5" s="606"/>
      <c r="P5" s="230"/>
    </row>
    <row r="6" spans="1:25" ht="17" thickTop="1" thickBot="1" x14ac:dyDescent="0.85">
      <c r="A6" s="624"/>
      <c r="B6" s="641" t="s">
        <v>66</v>
      </c>
      <c r="C6" s="642"/>
      <c r="D6" s="642"/>
      <c r="E6" s="643"/>
      <c r="F6" s="604" t="str">
        <f>SUBSTITUTE(Summary!$D$7,,Summary!$D$7)</f>
        <v/>
      </c>
      <c r="G6" s="605"/>
      <c r="H6" s="605"/>
      <c r="I6" s="605"/>
      <c r="J6" s="605"/>
      <c r="K6" s="605"/>
      <c r="L6" s="605"/>
      <c r="M6" s="605"/>
      <c r="N6" s="605"/>
      <c r="O6" s="606"/>
      <c r="P6" s="230"/>
    </row>
    <row r="7" spans="1:25" ht="17" thickTop="1" thickBot="1" x14ac:dyDescent="0.85">
      <c r="A7" s="624"/>
      <c r="B7" s="641" t="s">
        <v>100</v>
      </c>
      <c r="C7" s="642"/>
      <c r="D7" s="642"/>
      <c r="E7" s="643"/>
      <c r="F7" s="604" t="str">
        <f>SUBSTITUTE(Summary!$D$8,,Summary!$D$8)</f>
        <v/>
      </c>
      <c r="G7" s="605"/>
      <c r="H7" s="605"/>
      <c r="I7" s="605"/>
      <c r="J7" s="605"/>
      <c r="K7" s="605"/>
      <c r="L7" s="605"/>
      <c r="M7" s="605"/>
      <c r="N7" s="605"/>
      <c r="O7" s="606"/>
      <c r="P7" s="230"/>
    </row>
    <row r="8" spans="1:25" ht="17" thickTop="1" thickBot="1" x14ac:dyDescent="0.85">
      <c r="A8" s="624"/>
      <c r="B8" s="601" t="s">
        <v>299</v>
      </c>
      <c r="C8" s="602"/>
      <c r="D8" s="602"/>
      <c r="E8" s="603"/>
      <c r="F8" s="604" t="str">
        <f>SUBSTITUTE(Summary!$D$9,,Summary!$D$9)</f>
        <v/>
      </c>
      <c r="G8" s="605"/>
      <c r="H8" s="605"/>
      <c r="I8" s="605"/>
      <c r="J8" s="605"/>
      <c r="K8" s="605"/>
      <c r="L8" s="605"/>
      <c r="M8" s="605"/>
      <c r="N8" s="605"/>
      <c r="O8" s="606"/>
      <c r="P8" s="230"/>
    </row>
    <row r="9" spans="1:25" ht="14.5" thickTop="1" thickBot="1" x14ac:dyDescent="0.75">
      <c r="A9" s="624"/>
      <c r="B9" s="293"/>
      <c r="C9" s="293"/>
      <c r="D9" s="293"/>
      <c r="E9" s="293"/>
      <c r="F9" s="293"/>
      <c r="G9" s="293"/>
      <c r="H9" s="293"/>
      <c r="I9" s="293"/>
      <c r="J9" s="293"/>
      <c r="K9" s="293"/>
      <c r="L9" s="293"/>
      <c r="M9" s="293"/>
      <c r="N9" s="293"/>
      <c r="O9" s="293"/>
      <c r="P9" s="230"/>
    </row>
    <row r="10" spans="1:25" ht="12.75" customHeight="1" thickBot="1" x14ac:dyDescent="0.75">
      <c r="A10" s="624"/>
      <c r="B10" s="618" t="s">
        <v>483</v>
      </c>
      <c r="C10" s="618"/>
      <c r="D10" s="618"/>
      <c r="E10" s="618">
        <f>SUM(I18:I100)</f>
        <v>0</v>
      </c>
      <c r="F10" s="618"/>
      <c r="G10" s="707" t="str">
        <f>IF($E10&gt;14,"Qualifies","Non-Qualifying")</f>
        <v>Non-Qualifying</v>
      </c>
      <c r="H10" s="708"/>
      <c r="I10" s="695" t="str">
        <f>IF($E$10&gt;4,"Partial Qualifier","Non-Qualifying")</f>
        <v>Non-Qualifying</v>
      </c>
      <c r="J10" s="695"/>
      <c r="K10" s="695"/>
      <c r="L10" s="695" t="str">
        <f>IF($E$10&gt;14,"Qualifies","Non-Qualifying")</f>
        <v>Non-Qualifying</v>
      </c>
      <c r="M10" s="695"/>
      <c r="N10" s="695"/>
      <c r="O10" s="695"/>
      <c r="P10" s="231"/>
    </row>
    <row r="11" spans="1:25" ht="12.75" customHeight="1" thickBot="1" x14ac:dyDescent="0.75">
      <c r="A11" s="624"/>
      <c r="B11" s="619"/>
      <c r="C11" s="619"/>
      <c r="D11" s="619"/>
      <c r="E11" s="619"/>
      <c r="F11" s="619"/>
      <c r="G11" s="709"/>
      <c r="H11" s="710"/>
      <c r="I11" s="695"/>
      <c r="J11" s="695"/>
      <c r="K11" s="695"/>
      <c r="L11" s="695"/>
      <c r="M11" s="695"/>
      <c r="N11" s="695"/>
      <c r="O11" s="695"/>
      <c r="P11" s="231"/>
    </row>
    <row r="12" spans="1:25" ht="42.75" customHeight="1" thickBot="1" x14ac:dyDescent="0.75">
      <c r="A12" s="624"/>
      <c r="B12" s="620"/>
      <c r="C12" s="620"/>
      <c r="D12" s="620"/>
      <c r="E12" s="620"/>
      <c r="F12" s="620"/>
      <c r="G12" s="711"/>
      <c r="H12" s="712"/>
      <c r="I12" s="696" t="s">
        <v>588</v>
      </c>
      <c r="J12" s="696"/>
      <c r="K12" s="696"/>
      <c r="L12" s="697" t="s">
        <v>589</v>
      </c>
      <c r="M12" s="653"/>
      <c r="N12" s="653"/>
      <c r="O12" s="654"/>
      <c r="P12" s="231"/>
      <c r="S12" s="694"/>
      <c r="T12" s="694"/>
      <c r="U12" s="694"/>
      <c r="V12" s="694"/>
    </row>
    <row r="13" spans="1:25" ht="13.5" customHeight="1" thickBot="1" x14ac:dyDescent="0.75">
      <c r="A13" s="624"/>
      <c r="B13" s="607" t="s">
        <v>587</v>
      </c>
      <c r="C13" s="607"/>
      <c r="D13" s="607"/>
      <c r="E13" s="607"/>
      <c r="F13" s="607"/>
      <c r="G13" s="607" t="s">
        <v>464</v>
      </c>
      <c r="H13" s="713" t="s">
        <v>443</v>
      </c>
      <c r="I13" s="715" t="s">
        <v>444</v>
      </c>
      <c r="J13" s="624"/>
      <c r="K13" s="295"/>
      <c r="L13" s="295"/>
      <c r="M13" s="295"/>
      <c r="N13" s="295"/>
      <c r="O13" s="295"/>
      <c r="P13" s="231"/>
      <c r="S13" s="694"/>
      <c r="T13" s="694"/>
      <c r="U13" s="294"/>
      <c r="V13" s="294"/>
    </row>
    <row r="14" spans="1:25" ht="53.25" customHeight="1" thickBot="1" x14ac:dyDescent="0.75">
      <c r="A14" s="624"/>
      <c r="B14" s="608"/>
      <c r="C14" s="608"/>
      <c r="D14" s="608"/>
      <c r="E14" s="608"/>
      <c r="F14" s="608"/>
      <c r="G14" s="608"/>
      <c r="H14" s="714"/>
      <c r="I14" s="714"/>
      <c r="J14" s="624"/>
      <c r="K14" s="698" t="s">
        <v>590</v>
      </c>
      <c r="L14" s="699"/>
      <c r="M14" s="699"/>
      <c r="N14" s="699"/>
      <c r="O14" s="700"/>
      <c r="P14" s="233"/>
      <c r="S14" s="694"/>
      <c r="T14" s="694"/>
      <c r="U14" s="294"/>
      <c r="V14" s="294"/>
      <c r="W14" s="231"/>
      <c r="X14" s="231"/>
      <c r="Y14" s="231"/>
    </row>
    <row r="15" spans="1:25" ht="12.75" customHeight="1" x14ac:dyDescent="0.6">
      <c r="A15" s="624"/>
      <c r="B15" s="624"/>
      <c r="C15" s="624"/>
      <c r="D15" s="624"/>
      <c r="E15" s="624"/>
      <c r="F15" s="624"/>
      <c r="G15" s="624"/>
      <c r="H15" s="624"/>
      <c r="I15" s="624"/>
      <c r="J15" s="624"/>
      <c r="K15" s="701"/>
      <c r="L15" s="702"/>
      <c r="M15" s="702"/>
      <c r="N15" s="702"/>
      <c r="O15" s="703"/>
      <c r="P15" s="234"/>
      <c r="U15" s="231"/>
      <c r="V15" s="231"/>
      <c r="W15" s="231"/>
      <c r="X15" s="231"/>
      <c r="Y15" s="231"/>
    </row>
    <row r="16" spans="1:25" ht="13.5" customHeight="1" thickBot="1" x14ac:dyDescent="0.75">
      <c r="A16" s="624"/>
      <c r="B16" s="655"/>
      <c r="C16" s="655"/>
      <c r="D16" s="655"/>
      <c r="E16" s="655"/>
      <c r="F16" s="655"/>
      <c r="G16" s="655"/>
      <c r="H16" s="655"/>
      <c r="I16" s="655"/>
      <c r="J16" s="624"/>
      <c r="K16" s="701"/>
      <c r="L16" s="702"/>
      <c r="M16" s="702"/>
      <c r="N16" s="702"/>
      <c r="O16" s="703"/>
      <c r="P16" s="234"/>
    </row>
    <row r="17" spans="1:16" ht="22.15" customHeight="1" thickBot="1" x14ac:dyDescent="1">
      <c r="A17" s="624"/>
      <c r="B17" s="609" t="s">
        <v>484</v>
      </c>
      <c r="C17" s="610"/>
      <c r="D17" s="610"/>
      <c r="E17" s="610"/>
      <c r="F17" s="610"/>
      <c r="G17" s="610"/>
      <c r="H17" s="610"/>
      <c r="I17" s="611"/>
      <c r="J17" s="624"/>
      <c r="K17" s="701"/>
      <c r="L17" s="702"/>
      <c r="M17" s="702"/>
      <c r="N17" s="702"/>
      <c r="O17" s="703"/>
      <c r="P17" s="234"/>
    </row>
    <row r="18" spans="1:16" ht="15.75" customHeight="1" thickBot="1" x14ac:dyDescent="0.75">
      <c r="A18" s="624"/>
      <c r="B18" s="592" t="s">
        <v>485</v>
      </c>
      <c r="C18" s="648"/>
      <c r="D18" s="648"/>
      <c r="E18" s="648"/>
      <c r="F18" s="593"/>
      <c r="G18" s="228"/>
      <c r="H18" s="232">
        <v>15</v>
      </c>
      <c r="I18" s="229">
        <f>IF(G18="Yes",H18,0)</f>
        <v>0</v>
      </c>
      <c r="J18" s="624"/>
      <c r="K18" s="701"/>
      <c r="L18" s="702"/>
      <c r="M18" s="702"/>
      <c r="N18" s="702"/>
      <c r="O18" s="703"/>
      <c r="P18" s="234"/>
    </row>
    <row r="19" spans="1:16" ht="15.75" customHeight="1" thickBot="1" x14ac:dyDescent="0.75">
      <c r="A19" s="624"/>
      <c r="B19" s="592" t="s">
        <v>486</v>
      </c>
      <c r="C19" s="648"/>
      <c r="D19" s="648"/>
      <c r="E19" s="648"/>
      <c r="F19" s="593"/>
      <c r="G19" s="228"/>
      <c r="H19" s="235">
        <v>15</v>
      </c>
      <c r="I19" s="229">
        <f>IF(G19="Yes",H19,0)</f>
        <v>0</v>
      </c>
      <c r="J19" s="624"/>
      <c r="K19" s="701"/>
      <c r="L19" s="702"/>
      <c r="M19" s="702"/>
      <c r="N19" s="702"/>
      <c r="O19" s="703"/>
      <c r="P19" s="234"/>
    </row>
    <row r="20" spans="1:16" ht="15.75" customHeight="1" thickBot="1" x14ac:dyDescent="0.75">
      <c r="A20" s="624"/>
      <c r="B20" s="594" t="s">
        <v>449</v>
      </c>
      <c r="C20" s="656"/>
      <c r="D20" s="656"/>
      <c r="E20" s="656"/>
      <c r="F20" s="595"/>
      <c r="G20" s="228"/>
      <c r="H20" s="235">
        <v>15</v>
      </c>
      <c r="I20" s="229">
        <f>IF(G20="Yes",H20,0)</f>
        <v>0</v>
      </c>
      <c r="J20" s="624"/>
      <c r="K20" s="701"/>
      <c r="L20" s="702"/>
      <c r="M20" s="702"/>
      <c r="N20" s="702"/>
      <c r="O20" s="703"/>
      <c r="P20" s="234"/>
    </row>
    <row r="21" spans="1:16" ht="15.75" customHeight="1" thickBot="1" x14ac:dyDescent="0.75">
      <c r="A21" s="624"/>
      <c r="B21" s="594" t="s">
        <v>487</v>
      </c>
      <c r="C21" s="656"/>
      <c r="D21" s="656"/>
      <c r="E21" s="656"/>
      <c r="F21" s="595"/>
      <c r="G21" s="228"/>
      <c r="H21" s="235">
        <v>15</v>
      </c>
      <c r="I21" s="229">
        <f>IF(G21="Yes",H21,0)</f>
        <v>0</v>
      </c>
      <c r="J21" s="624"/>
      <c r="K21" s="701"/>
      <c r="L21" s="702"/>
      <c r="M21" s="702"/>
      <c r="N21" s="702"/>
      <c r="O21" s="703"/>
      <c r="P21" s="234"/>
    </row>
    <row r="22" spans="1:16" ht="15.75" customHeight="1" thickBot="1" x14ac:dyDescent="0.75">
      <c r="A22" s="624"/>
      <c r="B22" s="236"/>
      <c r="C22" s="592" t="s">
        <v>564</v>
      </c>
      <c r="D22" s="648"/>
      <c r="E22" s="648"/>
      <c r="F22" s="593"/>
      <c r="G22" s="228"/>
      <c r="H22" s="235">
        <v>1</v>
      </c>
      <c r="I22" s="229">
        <f>SUM(G22*H22)</f>
        <v>0</v>
      </c>
      <c r="J22" s="624"/>
      <c r="K22" s="701"/>
      <c r="L22" s="702"/>
      <c r="M22" s="702"/>
      <c r="N22" s="702"/>
      <c r="O22" s="703"/>
      <c r="P22" s="234"/>
    </row>
    <row r="23" spans="1:16" ht="15.75" customHeight="1" thickBot="1" x14ac:dyDescent="0.75">
      <c r="A23" s="624"/>
      <c r="B23" s="660"/>
      <c r="C23" s="660"/>
      <c r="D23" s="660"/>
      <c r="E23" s="660"/>
      <c r="F23" s="660"/>
      <c r="G23" s="660"/>
      <c r="H23" s="660"/>
      <c r="I23" s="660"/>
      <c r="J23" s="624"/>
      <c r="K23" s="701"/>
      <c r="L23" s="702"/>
      <c r="M23" s="702"/>
      <c r="N23" s="702"/>
      <c r="O23" s="703"/>
      <c r="P23" s="234"/>
    </row>
    <row r="24" spans="1:16" ht="22.15" customHeight="1" thickBot="1" x14ac:dyDescent="1">
      <c r="A24" s="624"/>
      <c r="B24" s="609" t="s">
        <v>488</v>
      </c>
      <c r="C24" s="610"/>
      <c r="D24" s="610"/>
      <c r="E24" s="610"/>
      <c r="F24" s="610"/>
      <c r="G24" s="610"/>
      <c r="H24" s="610"/>
      <c r="I24" s="611"/>
      <c r="J24" s="624"/>
      <c r="K24" s="701"/>
      <c r="L24" s="702"/>
      <c r="M24" s="702"/>
      <c r="N24" s="702"/>
      <c r="O24" s="703"/>
      <c r="P24" s="234"/>
    </row>
    <row r="25" spans="1:16" ht="15.75" customHeight="1" thickBot="1" x14ac:dyDescent="0.75">
      <c r="A25" s="624"/>
      <c r="B25" s="612" t="s">
        <v>206</v>
      </c>
      <c r="C25" s="613"/>
      <c r="D25" s="613"/>
      <c r="E25" s="613"/>
      <c r="F25" s="614"/>
      <c r="G25" s="615"/>
      <c r="H25" s="616"/>
      <c r="I25" s="617"/>
      <c r="J25" s="624"/>
      <c r="K25" s="701"/>
      <c r="L25" s="702"/>
      <c r="M25" s="702"/>
      <c r="N25" s="702"/>
      <c r="O25" s="703"/>
      <c r="P25" s="234"/>
    </row>
    <row r="26" spans="1:16" ht="15.75" customHeight="1" thickBot="1" x14ac:dyDescent="0.75">
      <c r="A26" s="624"/>
      <c r="B26" s="237"/>
      <c r="C26" s="621" t="s">
        <v>445</v>
      </c>
      <c r="D26" s="622"/>
      <c r="E26" s="622"/>
      <c r="F26" s="623"/>
      <c r="G26" s="228"/>
      <c r="H26" s="232">
        <v>15</v>
      </c>
      <c r="I26" s="229">
        <f>IF(G26="Yes",H26,0)</f>
        <v>0</v>
      </c>
      <c r="J26" s="624"/>
      <c r="K26" s="701"/>
      <c r="L26" s="702"/>
      <c r="M26" s="702"/>
      <c r="N26" s="702"/>
      <c r="O26" s="703"/>
      <c r="P26" s="234"/>
    </row>
    <row r="27" spans="1:16" ht="15.75" customHeight="1" thickBot="1" x14ac:dyDescent="0.75">
      <c r="A27" s="624"/>
      <c r="B27" s="237"/>
      <c r="C27" s="241"/>
      <c r="D27" s="596" t="s">
        <v>500</v>
      </c>
      <c r="E27" s="600"/>
      <c r="F27" s="597"/>
      <c r="G27" s="228"/>
      <c r="H27" s="232">
        <v>15</v>
      </c>
      <c r="I27" s="229">
        <f>IF(G27="Yes",H27,0)</f>
        <v>0</v>
      </c>
      <c r="J27" s="624"/>
      <c r="K27" s="701"/>
      <c r="L27" s="702"/>
      <c r="M27" s="702"/>
      <c r="N27" s="702"/>
      <c r="O27" s="703"/>
      <c r="P27" s="234"/>
    </row>
    <row r="28" spans="1:16" ht="14.25" customHeight="1" thickBot="1" x14ac:dyDescent="0.75">
      <c r="A28" s="624"/>
      <c r="B28" s="237"/>
      <c r="C28" s="238"/>
      <c r="D28" s="596" t="s">
        <v>472</v>
      </c>
      <c r="E28" s="600"/>
      <c r="F28" s="597"/>
      <c r="G28" s="649"/>
      <c r="H28" s="650"/>
      <c r="I28" s="651"/>
      <c r="J28" s="624"/>
      <c r="K28" s="701"/>
      <c r="L28" s="702"/>
      <c r="M28" s="702"/>
      <c r="N28" s="702"/>
      <c r="O28" s="703"/>
      <c r="P28" s="234"/>
    </row>
    <row r="29" spans="1:16" ht="14.25" customHeight="1" thickBot="1" x14ac:dyDescent="0.75">
      <c r="A29" s="624"/>
      <c r="B29" s="237"/>
      <c r="C29" s="239"/>
      <c r="D29" s="240"/>
      <c r="E29" s="621" t="s">
        <v>473</v>
      </c>
      <c r="F29" s="623"/>
      <c r="G29" s="228"/>
      <c r="H29" s="232">
        <v>10</v>
      </c>
      <c r="I29" s="229">
        <f t="shared" ref="I29:I55" si="0">IF(G29="Yes",H29,0)</f>
        <v>0</v>
      </c>
      <c r="J29" s="624"/>
      <c r="K29" s="701"/>
      <c r="L29" s="702"/>
      <c r="M29" s="702"/>
      <c r="N29" s="702"/>
      <c r="O29" s="703"/>
      <c r="P29" s="234"/>
    </row>
    <row r="30" spans="1:16" ht="14.25" customHeight="1" thickBot="1" x14ac:dyDescent="0.75">
      <c r="A30" s="624"/>
      <c r="B30" s="237"/>
      <c r="C30" s="239"/>
      <c r="D30" s="240"/>
      <c r="E30" s="596" t="s">
        <v>72</v>
      </c>
      <c r="F30" s="597"/>
      <c r="G30" s="228"/>
      <c r="H30" s="232">
        <v>10</v>
      </c>
      <c r="I30" s="229">
        <f t="shared" si="0"/>
        <v>0</v>
      </c>
      <c r="J30" s="624"/>
      <c r="K30" s="701"/>
      <c r="L30" s="702"/>
      <c r="M30" s="702"/>
      <c r="N30" s="702"/>
      <c r="O30" s="703"/>
      <c r="P30" s="234"/>
    </row>
    <row r="31" spans="1:16" ht="14.25" customHeight="1" thickBot="1" x14ac:dyDescent="0.75">
      <c r="A31" s="624"/>
      <c r="B31" s="237"/>
      <c r="C31" s="239"/>
      <c r="D31" s="240"/>
      <c r="E31" s="596" t="s">
        <v>68</v>
      </c>
      <c r="F31" s="597"/>
      <c r="G31" s="228"/>
      <c r="H31" s="232">
        <v>10</v>
      </c>
      <c r="I31" s="229">
        <f t="shared" si="0"/>
        <v>0</v>
      </c>
      <c r="J31" s="624"/>
      <c r="K31" s="701"/>
      <c r="L31" s="702"/>
      <c r="M31" s="702"/>
      <c r="N31" s="702"/>
      <c r="O31" s="703"/>
      <c r="P31" s="234"/>
    </row>
    <row r="32" spans="1:16" ht="14.25" customHeight="1" thickBot="1" x14ac:dyDescent="0.75">
      <c r="A32" s="624"/>
      <c r="B32" s="237"/>
      <c r="C32" s="239"/>
      <c r="D32" s="240"/>
      <c r="E32" s="596" t="s">
        <v>871</v>
      </c>
      <c r="F32" s="597"/>
      <c r="G32" s="228"/>
      <c r="H32" s="232">
        <v>10</v>
      </c>
      <c r="I32" s="229">
        <f t="shared" si="0"/>
        <v>0</v>
      </c>
      <c r="J32" s="624"/>
      <c r="K32" s="701"/>
      <c r="L32" s="702"/>
      <c r="M32" s="702"/>
      <c r="N32" s="702"/>
      <c r="O32" s="703"/>
      <c r="P32" s="234"/>
    </row>
    <row r="33" spans="1:16" ht="15.75" customHeight="1" thickBot="1" x14ac:dyDescent="0.75">
      <c r="A33" s="624"/>
      <c r="B33" s="237"/>
      <c r="C33" s="239"/>
      <c r="D33" s="240"/>
      <c r="E33" s="596" t="s">
        <v>474</v>
      </c>
      <c r="F33" s="597"/>
      <c r="G33" s="228"/>
      <c r="H33" s="232">
        <v>10</v>
      </c>
      <c r="I33" s="229">
        <f t="shared" si="0"/>
        <v>0</v>
      </c>
      <c r="J33" s="624"/>
      <c r="K33" s="701"/>
      <c r="L33" s="702"/>
      <c r="M33" s="702"/>
      <c r="N33" s="702"/>
      <c r="O33" s="703"/>
      <c r="P33" s="234"/>
    </row>
    <row r="34" spans="1:16" ht="15.75" customHeight="1" thickBot="1" x14ac:dyDescent="0.75">
      <c r="A34" s="624"/>
      <c r="B34" s="237"/>
      <c r="C34" s="239"/>
      <c r="D34" s="240"/>
      <c r="E34" s="598" t="s">
        <v>489</v>
      </c>
      <c r="F34" s="599"/>
      <c r="G34" s="228"/>
      <c r="H34" s="232">
        <v>10</v>
      </c>
      <c r="I34" s="229">
        <f t="shared" si="0"/>
        <v>0</v>
      </c>
      <c r="J34" s="624"/>
      <c r="K34" s="701"/>
      <c r="L34" s="702"/>
      <c r="M34" s="702"/>
      <c r="N34" s="702"/>
      <c r="O34" s="703"/>
      <c r="P34" s="234"/>
    </row>
    <row r="35" spans="1:16" ht="15.75" customHeight="1" thickBot="1" x14ac:dyDescent="0.75">
      <c r="A35" s="624"/>
      <c r="B35" s="237"/>
      <c r="C35" s="239"/>
      <c r="D35" s="240"/>
      <c r="E35" s="592" t="s">
        <v>479</v>
      </c>
      <c r="F35" s="593"/>
      <c r="G35" s="228"/>
      <c r="H35" s="232">
        <v>5</v>
      </c>
      <c r="I35" s="229">
        <f t="shared" si="0"/>
        <v>0</v>
      </c>
      <c r="J35" s="624"/>
      <c r="K35" s="701"/>
      <c r="L35" s="702"/>
      <c r="M35" s="702"/>
      <c r="N35" s="702"/>
      <c r="O35" s="703"/>
      <c r="P35" s="234"/>
    </row>
    <row r="36" spans="1:16" ht="15.75" customHeight="1" thickBot="1" x14ac:dyDescent="0.75">
      <c r="A36" s="624"/>
      <c r="B36" s="237"/>
      <c r="C36" s="239"/>
      <c r="D36" s="240"/>
      <c r="E36" s="592" t="s">
        <v>480</v>
      </c>
      <c r="F36" s="593"/>
      <c r="G36" s="228"/>
      <c r="H36" s="232">
        <v>5</v>
      </c>
      <c r="I36" s="229">
        <f t="shared" si="0"/>
        <v>0</v>
      </c>
      <c r="J36" s="624"/>
      <c r="K36" s="701"/>
      <c r="L36" s="702"/>
      <c r="M36" s="702"/>
      <c r="N36" s="702"/>
      <c r="O36" s="703"/>
      <c r="P36" s="234"/>
    </row>
    <row r="37" spans="1:16" ht="15.75" customHeight="1" thickBot="1" x14ac:dyDescent="0.75">
      <c r="A37" s="624"/>
      <c r="B37" s="237"/>
      <c r="C37" s="239"/>
      <c r="D37" s="240"/>
      <c r="E37" s="592" t="s">
        <v>481</v>
      </c>
      <c r="F37" s="593"/>
      <c r="G37" s="228"/>
      <c r="H37" s="232">
        <v>5</v>
      </c>
      <c r="I37" s="229">
        <f t="shared" si="0"/>
        <v>0</v>
      </c>
      <c r="J37" s="624"/>
      <c r="K37" s="701"/>
      <c r="L37" s="702"/>
      <c r="M37" s="702"/>
      <c r="N37" s="702"/>
      <c r="O37" s="703"/>
      <c r="P37" s="234"/>
    </row>
    <row r="38" spans="1:16" ht="15.75" customHeight="1" thickBot="1" x14ac:dyDescent="0.75">
      <c r="A38" s="624"/>
      <c r="B38" s="237"/>
      <c r="C38" s="239"/>
      <c r="D38" s="240"/>
      <c r="E38" s="594" t="s">
        <v>502</v>
      </c>
      <c r="F38" s="595"/>
      <c r="G38" s="228"/>
      <c r="H38" s="232">
        <v>5</v>
      </c>
      <c r="I38" s="229">
        <f t="shared" si="0"/>
        <v>0</v>
      </c>
      <c r="J38" s="624"/>
      <c r="K38" s="701"/>
      <c r="L38" s="702"/>
      <c r="M38" s="702"/>
      <c r="N38" s="702"/>
      <c r="O38" s="703"/>
      <c r="P38" s="234"/>
    </row>
    <row r="39" spans="1:16" ht="15.75" customHeight="1" thickBot="1" x14ac:dyDescent="0.75">
      <c r="A39" s="624"/>
      <c r="B39" s="237"/>
      <c r="C39" s="239"/>
      <c r="D39" s="241"/>
      <c r="E39" s="592" t="s">
        <v>490</v>
      </c>
      <c r="F39" s="593"/>
      <c r="G39" s="228"/>
      <c r="H39" s="232">
        <v>10</v>
      </c>
      <c r="I39" s="229">
        <f t="shared" si="0"/>
        <v>0</v>
      </c>
      <c r="J39" s="624"/>
      <c r="K39" s="701"/>
      <c r="L39" s="702"/>
      <c r="M39" s="702"/>
      <c r="N39" s="702"/>
      <c r="O39" s="703"/>
      <c r="P39" s="234"/>
    </row>
    <row r="40" spans="1:16" ht="15.75" customHeight="1" thickBot="1" x14ac:dyDescent="0.75">
      <c r="A40" s="624"/>
      <c r="B40" s="237"/>
      <c r="C40" s="239"/>
      <c r="D40" s="241"/>
      <c r="E40" s="592" t="s">
        <v>448</v>
      </c>
      <c r="F40" s="593"/>
      <c r="G40" s="228"/>
      <c r="H40" s="232">
        <v>5</v>
      </c>
      <c r="I40" s="229">
        <f t="shared" si="0"/>
        <v>0</v>
      </c>
      <c r="J40" s="624"/>
      <c r="K40" s="701"/>
      <c r="L40" s="702"/>
      <c r="M40" s="702"/>
      <c r="N40" s="702"/>
      <c r="O40" s="703"/>
      <c r="P40" s="234"/>
    </row>
    <row r="41" spans="1:16" ht="15.75" customHeight="1" thickBot="1" x14ac:dyDescent="0.75">
      <c r="A41" s="624"/>
      <c r="B41" s="237"/>
      <c r="C41" s="239"/>
      <c r="D41" s="657" t="s">
        <v>507</v>
      </c>
      <c r="E41" s="658"/>
      <c r="F41" s="659"/>
      <c r="G41" s="228"/>
      <c r="H41" s="232">
        <v>5</v>
      </c>
      <c r="I41" s="229">
        <f t="shared" si="0"/>
        <v>0</v>
      </c>
      <c r="J41" s="624"/>
      <c r="K41" s="701"/>
      <c r="L41" s="702"/>
      <c r="M41" s="702"/>
      <c r="N41" s="702"/>
      <c r="O41" s="703"/>
      <c r="P41" s="234"/>
    </row>
    <row r="42" spans="1:16" ht="15.75" customHeight="1" thickBot="1" x14ac:dyDescent="0.75">
      <c r="A42" s="624"/>
      <c r="B42" s="237"/>
      <c r="C42" s="239"/>
      <c r="D42" s="240"/>
      <c r="E42" s="612" t="s">
        <v>501</v>
      </c>
      <c r="F42" s="614"/>
      <c r="G42" s="228"/>
      <c r="H42" s="232">
        <v>5</v>
      </c>
      <c r="I42" s="229">
        <f t="shared" si="0"/>
        <v>0</v>
      </c>
      <c r="J42" s="624"/>
      <c r="K42" s="701"/>
      <c r="L42" s="702"/>
      <c r="M42" s="702"/>
      <c r="N42" s="702"/>
      <c r="O42" s="703"/>
      <c r="P42" s="234"/>
    </row>
    <row r="43" spans="1:16" ht="15.75" customHeight="1" thickBot="1" x14ac:dyDescent="0.75">
      <c r="A43" s="624"/>
      <c r="B43" s="237"/>
      <c r="C43" s="239"/>
      <c r="D43" s="240"/>
      <c r="E43" s="594" t="s">
        <v>492</v>
      </c>
      <c r="F43" s="595"/>
      <c r="G43" s="228"/>
      <c r="H43" s="232">
        <v>5</v>
      </c>
      <c r="I43" s="229">
        <f t="shared" si="0"/>
        <v>0</v>
      </c>
      <c r="J43" s="624"/>
      <c r="K43" s="701"/>
      <c r="L43" s="702"/>
      <c r="M43" s="702"/>
      <c r="N43" s="702"/>
      <c r="O43" s="703"/>
      <c r="P43" s="234"/>
    </row>
    <row r="44" spans="1:16" ht="15.75" customHeight="1" thickBot="1" x14ac:dyDescent="0.75">
      <c r="A44" s="624"/>
      <c r="B44" s="237"/>
      <c r="C44" s="652" t="s">
        <v>586</v>
      </c>
      <c r="D44" s="653"/>
      <c r="E44" s="653"/>
      <c r="F44" s="654"/>
      <c r="G44" s="228"/>
      <c r="H44" s="232">
        <v>1</v>
      </c>
      <c r="I44" s="229">
        <f>SUM(G44*H44)</f>
        <v>0</v>
      </c>
      <c r="J44" s="624"/>
      <c r="K44" s="701"/>
      <c r="L44" s="702"/>
      <c r="M44" s="702"/>
      <c r="N44" s="702"/>
      <c r="O44" s="703"/>
      <c r="P44" s="234"/>
    </row>
    <row r="45" spans="1:16" ht="15.75" customHeight="1" thickBot="1" x14ac:dyDescent="0.75">
      <c r="A45" s="624"/>
      <c r="B45" s="592" t="s">
        <v>447</v>
      </c>
      <c r="C45" s="648"/>
      <c r="D45" s="648"/>
      <c r="E45" s="648"/>
      <c r="F45" s="593"/>
      <c r="G45" s="649"/>
      <c r="H45" s="650"/>
      <c r="I45" s="651"/>
      <c r="J45" s="624"/>
      <c r="K45" s="701"/>
      <c r="L45" s="702"/>
      <c r="M45" s="702"/>
      <c r="N45" s="702"/>
      <c r="O45" s="703"/>
      <c r="P45" s="234"/>
    </row>
    <row r="46" spans="1:16" ht="15.75" customHeight="1" thickBot="1" x14ac:dyDescent="0.75">
      <c r="A46" s="624"/>
      <c r="B46" s="237"/>
      <c r="C46" s="592" t="s">
        <v>493</v>
      </c>
      <c r="D46" s="648"/>
      <c r="E46" s="648"/>
      <c r="F46" s="593"/>
      <c r="G46" s="228"/>
      <c r="H46" s="232">
        <v>10</v>
      </c>
      <c r="I46" s="229">
        <f t="shared" si="0"/>
        <v>0</v>
      </c>
      <c r="J46" s="624"/>
      <c r="K46" s="701"/>
      <c r="L46" s="702"/>
      <c r="M46" s="702"/>
      <c r="N46" s="702"/>
      <c r="O46" s="703"/>
      <c r="P46" s="234"/>
    </row>
    <row r="47" spans="1:16" ht="15.75" customHeight="1" thickBot="1" x14ac:dyDescent="0.75">
      <c r="A47" s="624"/>
      <c r="B47" s="237"/>
      <c r="C47" s="239"/>
      <c r="D47" s="596" t="s">
        <v>491</v>
      </c>
      <c r="E47" s="600"/>
      <c r="F47" s="597"/>
      <c r="G47" s="228"/>
      <c r="H47" s="232">
        <v>10</v>
      </c>
      <c r="I47" s="229">
        <f t="shared" si="0"/>
        <v>0</v>
      </c>
      <c r="J47" s="624"/>
      <c r="K47" s="701"/>
      <c r="L47" s="702"/>
      <c r="M47" s="702"/>
      <c r="N47" s="702"/>
      <c r="O47" s="703"/>
      <c r="P47" s="234"/>
    </row>
    <row r="48" spans="1:16" ht="15.75" customHeight="1" thickBot="1" x14ac:dyDescent="0.75">
      <c r="A48" s="624"/>
      <c r="B48" s="237"/>
      <c r="C48" s="239"/>
      <c r="D48" s="596" t="s">
        <v>490</v>
      </c>
      <c r="E48" s="600"/>
      <c r="F48" s="597"/>
      <c r="G48" s="228"/>
      <c r="H48" s="232">
        <v>10</v>
      </c>
      <c r="I48" s="229">
        <f t="shared" si="0"/>
        <v>0</v>
      </c>
      <c r="J48" s="624"/>
      <c r="K48" s="701"/>
      <c r="L48" s="702"/>
      <c r="M48" s="702"/>
      <c r="N48" s="702"/>
      <c r="O48" s="703"/>
      <c r="P48" s="234"/>
    </row>
    <row r="49" spans="1:16" ht="15.75" customHeight="1" thickBot="1" x14ac:dyDescent="0.75">
      <c r="A49" s="624"/>
      <c r="B49" s="237"/>
      <c r="C49" s="239"/>
      <c r="D49" s="596" t="s">
        <v>568</v>
      </c>
      <c r="E49" s="600"/>
      <c r="F49" s="597"/>
      <c r="G49" s="228"/>
      <c r="H49" s="232">
        <v>5</v>
      </c>
      <c r="I49" s="229">
        <f t="shared" si="0"/>
        <v>0</v>
      </c>
      <c r="J49" s="624"/>
      <c r="K49" s="701"/>
      <c r="L49" s="702"/>
      <c r="M49" s="702"/>
      <c r="N49" s="702"/>
      <c r="O49" s="703"/>
      <c r="P49" s="234"/>
    </row>
    <row r="50" spans="1:16" ht="15.75" customHeight="1" thickBot="1" x14ac:dyDescent="0.75">
      <c r="A50" s="624"/>
      <c r="B50" s="237"/>
      <c r="C50" s="239"/>
      <c r="D50" s="596" t="s">
        <v>494</v>
      </c>
      <c r="E50" s="600"/>
      <c r="F50" s="597"/>
      <c r="G50" s="228"/>
      <c r="H50" s="232">
        <v>1</v>
      </c>
      <c r="I50" s="229">
        <f>SUM(G50*H50)</f>
        <v>0</v>
      </c>
      <c r="J50" s="624"/>
      <c r="K50" s="701"/>
      <c r="L50" s="702"/>
      <c r="M50" s="702"/>
      <c r="N50" s="702"/>
      <c r="O50" s="703"/>
      <c r="P50" s="234"/>
    </row>
    <row r="51" spans="1:16" ht="15.75" customHeight="1" thickBot="1" x14ac:dyDescent="0.75">
      <c r="A51" s="624"/>
      <c r="B51" s="592" t="s">
        <v>817</v>
      </c>
      <c r="C51" s="648"/>
      <c r="D51" s="648"/>
      <c r="E51" s="648"/>
      <c r="F51" s="593"/>
      <c r="G51" s="649"/>
      <c r="H51" s="650"/>
      <c r="I51" s="651"/>
      <c r="J51" s="624"/>
      <c r="K51" s="701"/>
      <c r="L51" s="702"/>
      <c r="M51" s="702"/>
      <c r="N51" s="702"/>
      <c r="O51" s="703"/>
      <c r="P51" s="234"/>
    </row>
    <row r="52" spans="1:16" ht="15.75" customHeight="1" thickBot="1" x14ac:dyDescent="0.75">
      <c r="A52" s="624"/>
      <c r="B52" s="237"/>
      <c r="C52" s="592" t="s">
        <v>493</v>
      </c>
      <c r="D52" s="648"/>
      <c r="E52" s="648"/>
      <c r="F52" s="593"/>
      <c r="G52" s="228"/>
      <c r="H52" s="232">
        <v>10</v>
      </c>
      <c r="I52" s="229">
        <f t="shared" si="0"/>
        <v>0</v>
      </c>
      <c r="J52" s="624"/>
      <c r="K52" s="701"/>
      <c r="L52" s="702"/>
      <c r="M52" s="702"/>
      <c r="N52" s="702"/>
      <c r="O52" s="703"/>
      <c r="P52" s="234"/>
    </row>
    <row r="53" spans="1:16" ht="15.75" customHeight="1" thickBot="1" x14ac:dyDescent="0.75">
      <c r="A53" s="624"/>
      <c r="B53" s="237"/>
      <c r="C53" s="242"/>
      <c r="D53" s="596" t="s">
        <v>490</v>
      </c>
      <c r="E53" s="600"/>
      <c r="F53" s="597"/>
      <c r="G53" s="228"/>
      <c r="H53" s="232">
        <v>10</v>
      </c>
      <c r="I53" s="229">
        <f t="shared" si="0"/>
        <v>0</v>
      </c>
      <c r="J53" s="624"/>
      <c r="K53" s="701"/>
      <c r="L53" s="702"/>
      <c r="M53" s="702"/>
      <c r="N53" s="702"/>
      <c r="O53" s="703"/>
      <c r="P53" s="234"/>
    </row>
    <row r="54" spans="1:16" ht="15.75" customHeight="1" thickBot="1" x14ac:dyDescent="0.75">
      <c r="A54" s="624"/>
      <c r="B54" s="237"/>
      <c r="C54" s="239"/>
      <c r="D54" s="596" t="s">
        <v>491</v>
      </c>
      <c r="E54" s="600"/>
      <c r="F54" s="597"/>
      <c r="G54" s="228"/>
      <c r="H54" s="232">
        <v>10</v>
      </c>
      <c r="I54" s="229">
        <f t="shared" si="0"/>
        <v>0</v>
      </c>
      <c r="J54" s="624"/>
      <c r="K54" s="701"/>
      <c r="L54" s="702"/>
      <c r="M54" s="702"/>
      <c r="N54" s="702"/>
      <c r="O54" s="703"/>
      <c r="P54" s="234"/>
    </row>
    <row r="55" spans="1:16" ht="15.75" customHeight="1" thickBot="1" x14ac:dyDescent="0.75">
      <c r="A55" s="624"/>
      <c r="B55" s="237"/>
      <c r="C55" s="239"/>
      <c r="D55" s="596" t="s">
        <v>575</v>
      </c>
      <c r="E55" s="600"/>
      <c r="F55" s="597"/>
      <c r="G55" s="228"/>
      <c r="H55" s="232">
        <v>5</v>
      </c>
      <c r="I55" s="229">
        <f t="shared" si="0"/>
        <v>0</v>
      </c>
      <c r="J55" s="624"/>
      <c r="K55" s="704"/>
      <c r="L55" s="705"/>
      <c r="M55" s="705"/>
      <c r="N55" s="705"/>
      <c r="O55" s="706"/>
      <c r="P55" s="234"/>
    </row>
    <row r="56" spans="1:16" ht="15.75" customHeight="1" thickBot="1" x14ac:dyDescent="0.75">
      <c r="A56" s="624"/>
      <c r="B56" s="237"/>
      <c r="C56" s="239"/>
      <c r="D56" s="596" t="s">
        <v>569</v>
      </c>
      <c r="E56" s="600"/>
      <c r="F56" s="597"/>
      <c r="G56" s="228"/>
      <c r="H56" s="232">
        <v>1</v>
      </c>
      <c r="I56" s="229">
        <f>SUM(G56*H56)</f>
        <v>0</v>
      </c>
      <c r="J56" s="624"/>
      <c r="K56" s="256"/>
      <c r="L56" s="256"/>
      <c r="M56" s="256"/>
      <c r="N56" s="256"/>
      <c r="O56" s="256"/>
      <c r="P56" s="234"/>
    </row>
    <row r="57" spans="1:16" ht="27" customHeight="1" thickBot="1" x14ac:dyDescent="0.75">
      <c r="A57" s="624"/>
      <c r="B57" s="691" t="s">
        <v>508</v>
      </c>
      <c r="C57" s="692"/>
      <c r="D57" s="692"/>
      <c r="E57" s="692"/>
      <c r="F57" s="693"/>
      <c r="G57" s="649"/>
      <c r="H57" s="650"/>
      <c r="I57" s="651"/>
      <c r="J57" s="624"/>
      <c r="K57" s="679" t="s">
        <v>571</v>
      </c>
      <c r="L57" s="680"/>
      <c r="M57" s="680"/>
      <c r="N57" s="680"/>
      <c r="O57" s="681"/>
      <c r="P57" s="234"/>
    </row>
    <row r="58" spans="1:16" ht="15.75" customHeight="1" thickBot="1" x14ac:dyDescent="0.75">
      <c r="A58" s="624"/>
      <c r="B58" s="237"/>
      <c r="C58" s="592" t="s">
        <v>493</v>
      </c>
      <c r="D58" s="648"/>
      <c r="E58" s="648"/>
      <c r="F58" s="593"/>
      <c r="G58" s="228"/>
      <c r="H58" s="232">
        <v>10</v>
      </c>
      <c r="I58" s="229">
        <f>IF(G58="Yes",H58,0)</f>
        <v>0</v>
      </c>
      <c r="J58" s="624"/>
      <c r="K58" s="679"/>
      <c r="L58" s="680"/>
      <c r="M58" s="680"/>
      <c r="N58" s="680"/>
      <c r="O58" s="681"/>
      <c r="P58" s="234"/>
    </row>
    <row r="59" spans="1:16" ht="15.75" customHeight="1" thickBot="1" x14ac:dyDescent="0.75">
      <c r="A59" s="624"/>
      <c r="B59" s="237"/>
      <c r="C59" s="239"/>
      <c r="D59" s="596" t="s">
        <v>491</v>
      </c>
      <c r="E59" s="600"/>
      <c r="F59" s="597"/>
      <c r="G59" s="228"/>
      <c r="H59" s="232">
        <v>10</v>
      </c>
      <c r="I59" s="229">
        <f>IF(G59="Yes",H59,0)</f>
        <v>0</v>
      </c>
      <c r="J59" s="624"/>
      <c r="K59" s="679"/>
      <c r="L59" s="680"/>
      <c r="M59" s="680"/>
      <c r="N59" s="680"/>
      <c r="O59" s="681"/>
      <c r="P59" s="234"/>
    </row>
    <row r="60" spans="1:16" ht="15.75" customHeight="1" thickBot="1" x14ac:dyDescent="0.75">
      <c r="A60" s="624"/>
      <c r="B60" s="237"/>
      <c r="C60" s="239"/>
      <c r="D60" s="596" t="s">
        <v>570</v>
      </c>
      <c r="E60" s="600"/>
      <c r="F60" s="597"/>
      <c r="G60" s="228"/>
      <c r="H60" s="232">
        <v>5</v>
      </c>
      <c r="I60" s="229">
        <f>IF(G60="Yes",H60,0)</f>
        <v>0</v>
      </c>
      <c r="J60" s="624"/>
      <c r="K60" s="682"/>
      <c r="L60" s="683"/>
      <c r="M60" s="683"/>
      <c r="N60" s="683"/>
      <c r="O60" s="684"/>
      <c r="P60" s="234"/>
    </row>
    <row r="61" spans="1:16" ht="15.75" customHeight="1" thickBot="1" x14ac:dyDescent="0.75">
      <c r="A61" s="624"/>
      <c r="B61" s="237"/>
      <c r="C61" s="239"/>
      <c r="D61" s="596" t="s">
        <v>495</v>
      </c>
      <c r="E61" s="600"/>
      <c r="F61" s="597"/>
      <c r="G61" s="228"/>
      <c r="H61" s="232">
        <v>1</v>
      </c>
      <c r="I61" s="229">
        <f>SUM(G61*H61)</f>
        <v>0</v>
      </c>
      <c r="J61" s="624"/>
      <c r="K61" s="685"/>
      <c r="L61" s="686"/>
      <c r="M61" s="686"/>
      <c r="N61" s="686"/>
      <c r="O61" s="687"/>
      <c r="P61" s="234"/>
    </row>
    <row r="62" spans="1:16" ht="13.5" customHeight="1" thickBot="1" x14ac:dyDescent="0.75">
      <c r="A62" s="624"/>
      <c r="B62" s="644"/>
      <c r="C62" s="644"/>
      <c r="D62" s="644"/>
      <c r="E62" s="644"/>
      <c r="F62" s="644"/>
      <c r="G62" s="644"/>
      <c r="H62" s="644"/>
      <c r="I62" s="644"/>
      <c r="J62" s="624"/>
      <c r="K62" s="685"/>
      <c r="L62" s="686"/>
      <c r="M62" s="686"/>
      <c r="N62" s="686"/>
      <c r="O62" s="687"/>
      <c r="P62" s="234"/>
    </row>
    <row r="63" spans="1:16" ht="22.15" customHeight="1" thickBot="1" x14ac:dyDescent="1.1499999999999999">
      <c r="A63" s="624"/>
      <c r="B63" s="645" t="s">
        <v>496</v>
      </c>
      <c r="C63" s="646"/>
      <c r="D63" s="646"/>
      <c r="E63" s="646"/>
      <c r="F63" s="646"/>
      <c r="G63" s="646"/>
      <c r="H63" s="646"/>
      <c r="I63" s="647"/>
      <c r="J63" s="624"/>
      <c r="K63" s="685"/>
      <c r="L63" s="686"/>
      <c r="M63" s="686"/>
      <c r="N63" s="686"/>
      <c r="O63" s="687"/>
      <c r="P63" s="234"/>
    </row>
    <row r="64" spans="1:16" ht="15.75" customHeight="1" thickBot="1" x14ac:dyDescent="0.75">
      <c r="A64" s="624"/>
      <c r="B64" s="596" t="s">
        <v>503</v>
      </c>
      <c r="C64" s="600"/>
      <c r="D64" s="600"/>
      <c r="E64" s="600"/>
      <c r="F64" s="597"/>
      <c r="G64" s="649"/>
      <c r="H64" s="650"/>
      <c r="I64" s="651"/>
      <c r="J64" s="624"/>
      <c r="K64" s="685"/>
      <c r="L64" s="686"/>
      <c r="M64" s="686"/>
      <c r="N64" s="686"/>
      <c r="O64" s="687"/>
      <c r="P64" s="234"/>
    </row>
    <row r="65" spans="1:16" ht="15.75" customHeight="1" thickBot="1" x14ac:dyDescent="0.75">
      <c r="A65" s="624"/>
      <c r="B65" s="243"/>
      <c r="C65" s="596" t="s">
        <v>471</v>
      </c>
      <c r="D65" s="600"/>
      <c r="E65" s="600"/>
      <c r="F65" s="597"/>
      <c r="G65" s="228"/>
      <c r="H65" s="232">
        <v>10</v>
      </c>
      <c r="I65" s="229">
        <f t="shared" ref="I65:I70" si="1">IF(G65="Yes",H65,0)</f>
        <v>0</v>
      </c>
      <c r="J65" s="624"/>
      <c r="K65" s="685"/>
      <c r="L65" s="686"/>
      <c r="M65" s="686"/>
      <c r="N65" s="686"/>
      <c r="O65" s="687"/>
      <c r="P65" s="234"/>
    </row>
    <row r="66" spans="1:16" ht="15.75" customHeight="1" thickBot="1" x14ac:dyDescent="0.75">
      <c r="A66" s="624"/>
      <c r="B66" s="247"/>
      <c r="C66" s="262"/>
      <c r="D66" s="596" t="s">
        <v>575</v>
      </c>
      <c r="E66" s="600"/>
      <c r="F66" s="597"/>
      <c r="G66" s="228"/>
      <c r="H66" s="232">
        <v>5</v>
      </c>
      <c r="I66" s="229">
        <f t="shared" si="1"/>
        <v>0</v>
      </c>
      <c r="J66" s="624"/>
      <c r="K66" s="685"/>
      <c r="L66" s="686"/>
      <c r="M66" s="686"/>
      <c r="N66" s="686"/>
      <c r="O66" s="687"/>
      <c r="P66" s="234"/>
    </row>
    <row r="67" spans="1:16" ht="15.75" customHeight="1" thickBot="1" x14ac:dyDescent="0.75">
      <c r="A67" s="624"/>
      <c r="B67" s="244"/>
      <c r="C67" s="596" t="s">
        <v>468</v>
      </c>
      <c r="D67" s="600"/>
      <c r="E67" s="600"/>
      <c r="F67" s="597"/>
      <c r="G67" s="228"/>
      <c r="H67" s="232">
        <v>10</v>
      </c>
      <c r="I67" s="229">
        <f t="shared" si="1"/>
        <v>0</v>
      </c>
      <c r="J67" s="624"/>
      <c r="K67" s="685"/>
      <c r="L67" s="686"/>
      <c r="M67" s="686"/>
      <c r="N67" s="686"/>
      <c r="O67" s="687"/>
      <c r="P67" s="234"/>
    </row>
    <row r="68" spans="1:16" ht="15.75" customHeight="1" thickBot="1" x14ac:dyDescent="0.75">
      <c r="A68" s="624"/>
      <c r="B68" s="244"/>
      <c r="C68" s="596" t="s">
        <v>467</v>
      </c>
      <c r="D68" s="600"/>
      <c r="E68" s="600"/>
      <c r="F68" s="597"/>
      <c r="G68" s="228"/>
      <c r="H68" s="232">
        <v>10</v>
      </c>
      <c r="I68" s="229">
        <f t="shared" si="1"/>
        <v>0</v>
      </c>
      <c r="J68" s="624"/>
      <c r="K68" s="685"/>
      <c r="L68" s="686"/>
      <c r="M68" s="686"/>
      <c r="N68" s="686"/>
      <c r="O68" s="687"/>
      <c r="P68" s="234"/>
    </row>
    <row r="69" spans="1:16" ht="15.75" customHeight="1" thickBot="1" x14ac:dyDescent="0.75">
      <c r="A69" s="624"/>
      <c r="B69" s="247"/>
      <c r="C69" s="596" t="s">
        <v>504</v>
      </c>
      <c r="D69" s="600"/>
      <c r="E69" s="600"/>
      <c r="F69" s="597"/>
      <c r="G69" s="228"/>
      <c r="H69" s="232">
        <v>10</v>
      </c>
      <c r="I69" s="229">
        <f t="shared" si="1"/>
        <v>0</v>
      </c>
      <c r="J69" s="624"/>
      <c r="K69" s="685"/>
      <c r="L69" s="686"/>
      <c r="M69" s="686"/>
      <c r="N69" s="686"/>
      <c r="O69" s="687"/>
      <c r="P69" s="234"/>
    </row>
    <row r="70" spans="1:16" ht="15.75" customHeight="1" thickBot="1" x14ac:dyDescent="0.75">
      <c r="A70" s="624"/>
      <c r="B70" s="247"/>
      <c r="C70" s="255"/>
      <c r="D70" s="596" t="s">
        <v>505</v>
      </c>
      <c r="E70" s="600"/>
      <c r="F70" s="597"/>
      <c r="G70" s="228"/>
      <c r="H70" s="232">
        <v>5</v>
      </c>
      <c r="I70" s="229">
        <f t="shared" si="1"/>
        <v>0</v>
      </c>
      <c r="J70" s="624"/>
      <c r="K70" s="685"/>
      <c r="L70" s="686"/>
      <c r="M70" s="686"/>
      <c r="N70" s="686"/>
      <c r="O70" s="687"/>
      <c r="P70" s="234"/>
    </row>
    <row r="71" spans="1:16" ht="15.75" customHeight="1" thickBot="1" x14ac:dyDescent="0.75">
      <c r="A71" s="624"/>
      <c r="B71" s="592" t="s">
        <v>477</v>
      </c>
      <c r="C71" s="648"/>
      <c r="D71" s="648"/>
      <c r="E71" s="648"/>
      <c r="F71" s="593"/>
      <c r="G71" s="649"/>
      <c r="H71" s="650"/>
      <c r="I71" s="651"/>
      <c r="J71" s="624"/>
      <c r="K71" s="685"/>
      <c r="L71" s="686"/>
      <c r="M71" s="686"/>
      <c r="N71" s="686"/>
      <c r="O71" s="687"/>
      <c r="P71" s="234"/>
    </row>
    <row r="72" spans="1:16" ht="15.75" customHeight="1" thickBot="1" x14ac:dyDescent="0.75">
      <c r="A72" s="624"/>
      <c r="B72" s="243"/>
      <c r="C72" s="592" t="s">
        <v>476</v>
      </c>
      <c r="D72" s="648"/>
      <c r="E72" s="648"/>
      <c r="F72" s="593"/>
      <c r="G72" s="228"/>
      <c r="H72" s="232">
        <v>5</v>
      </c>
      <c r="I72" s="229">
        <f t="shared" ref="I72:I79" si="2">IF(G72="Yes",H72,0)</f>
        <v>0</v>
      </c>
      <c r="J72" s="624"/>
      <c r="K72" s="685"/>
      <c r="L72" s="686"/>
      <c r="M72" s="686"/>
      <c r="N72" s="686"/>
      <c r="O72" s="687"/>
      <c r="P72" s="233"/>
    </row>
    <row r="73" spans="1:16" ht="15.75" customHeight="1" thickBot="1" x14ac:dyDescent="0.75">
      <c r="A73" s="624"/>
      <c r="B73" s="247"/>
      <c r="C73" s="261"/>
      <c r="D73" s="592" t="s">
        <v>575</v>
      </c>
      <c r="E73" s="648"/>
      <c r="F73" s="593"/>
      <c r="G73" s="228"/>
      <c r="H73" s="232">
        <v>3</v>
      </c>
      <c r="I73" s="229">
        <f t="shared" si="2"/>
        <v>0</v>
      </c>
      <c r="J73" s="624"/>
      <c r="K73" s="685"/>
      <c r="L73" s="686"/>
      <c r="M73" s="686"/>
      <c r="N73" s="686"/>
      <c r="O73" s="687"/>
      <c r="P73" s="233"/>
    </row>
    <row r="74" spans="1:16" ht="15.75" customHeight="1" thickBot="1" x14ac:dyDescent="0.75">
      <c r="A74" s="624"/>
      <c r="B74" s="244"/>
      <c r="C74" s="592" t="s">
        <v>478</v>
      </c>
      <c r="D74" s="648"/>
      <c r="E74" s="648"/>
      <c r="F74" s="593"/>
      <c r="G74" s="228"/>
      <c r="H74" s="232">
        <v>10</v>
      </c>
      <c r="I74" s="229">
        <f t="shared" si="2"/>
        <v>0</v>
      </c>
      <c r="J74" s="624"/>
      <c r="K74" s="685"/>
      <c r="L74" s="686"/>
      <c r="M74" s="686"/>
      <c r="N74" s="686"/>
      <c r="O74" s="687"/>
      <c r="P74" s="233"/>
    </row>
    <row r="75" spans="1:16" ht="15.75" customHeight="1" thickBot="1" x14ac:dyDescent="0.75">
      <c r="A75" s="624"/>
      <c r="B75" s="244"/>
      <c r="C75" s="596" t="s">
        <v>469</v>
      </c>
      <c r="D75" s="600"/>
      <c r="E75" s="600"/>
      <c r="F75" s="597"/>
      <c r="G75" s="228"/>
      <c r="H75" s="232">
        <v>2</v>
      </c>
      <c r="I75" s="229">
        <f t="shared" si="2"/>
        <v>0</v>
      </c>
      <c r="J75" s="624"/>
      <c r="K75" s="685"/>
      <c r="L75" s="686"/>
      <c r="M75" s="686"/>
      <c r="N75" s="686"/>
      <c r="O75" s="687"/>
      <c r="P75" s="233"/>
    </row>
    <row r="76" spans="1:16" ht="15.75" customHeight="1" thickBot="1" x14ac:dyDescent="0.75">
      <c r="A76" s="624"/>
      <c r="B76" s="244"/>
      <c r="C76" s="596" t="s">
        <v>465</v>
      </c>
      <c r="D76" s="600"/>
      <c r="E76" s="600"/>
      <c r="F76" s="597"/>
      <c r="G76" s="228"/>
      <c r="H76" s="232">
        <v>1</v>
      </c>
      <c r="I76" s="229">
        <f t="shared" si="2"/>
        <v>0</v>
      </c>
      <c r="J76" s="624"/>
      <c r="K76" s="685"/>
      <c r="L76" s="686"/>
      <c r="M76" s="686"/>
      <c r="N76" s="686"/>
      <c r="O76" s="687"/>
      <c r="P76" s="233"/>
    </row>
    <row r="77" spans="1:16" ht="15.75" customHeight="1" thickBot="1" x14ac:dyDescent="0.75">
      <c r="A77" s="624"/>
      <c r="B77" s="244"/>
      <c r="C77" s="596" t="s">
        <v>466</v>
      </c>
      <c r="D77" s="600"/>
      <c r="E77" s="600"/>
      <c r="F77" s="597"/>
      <c r="G77" s="228"/>
      <c r="H77" s="232">
        <v>1</v>
      </c>
      <c r="I77" s="229">
        <f t="shared" si="2"/>
        <v>0</v>
      </c>
      <c r="J77" s="624"/>
      <c r="K77" s="685"/>
      <c r="L77" s="686"/>
      <c r="M77" s="686"/>
      <c r="N77" s="686"/>
      <c r="O77" s="687"/>
      <c r="P77" s="233"/>
    </row>
    <row r="78" spans="1:16" ht="15.75" customHeight="1" thickBot="1" x14ac:dyDescent="0.75">
      <c r="A78" s="624"/>
      <c r="B78" s="244"/>
      <c r="C78" s="596" t="s">
        <v>470</v>
      </c>
      <c r="D78" s="600"/>
      <c r="E78" s="600"/>
      <c r="F78" s="597"/>
      <c r="G78" s="228"/>
      <c r="H78" s="232">
        <v>1</v>
      </c>
      <c r="I78" s="229">
        <f t="shared" si="2"/>
        <v>0</v>
      </c>
      <c r="J78" s="624"/>
      <c r="K78" s="685"/>
      <c r="L78" s="686"/>
      <c r="M78" s="686"/>
      <c r="N78" s="686"/>
      <c r="O78" s="687"/>
      <c r="P78" s="233"/>
    </row>
    <row r="79" spans="1:16" ht="15.75" customHeight="1" thickBot="1" x14ac:dyDescent="0.75">
      <c r="A79" s="624"/>
      <c r="B79" s="245"/>
      <c r="C79" s="596" t="s">
        <v>482</v>
      </c>
      <c r="D79" s="600"/>
      <c r="E79" s="600"/>
      <c r="F79" s="597"/>
      <c r="G79" s="228"/>
      <c r="H79" s="232">
        <v>2</v>
      </c>
      <c r="I79" s="229">
        <f t="shared" si="2"/>
        <v>0</v>
      </c>
      <c r="J79" s="624"/>
      <c r="K79" s="685"/>
      <c r="L79" s="686"/>
      <c r="M79" s="686"/>
      <c r="N79" s="686"/>
      <c r="O79" s="687"/>
      <c r="P79" s="233"/>
    </row>
    <row r="80" spans="1:16" ht="15.75" customHeight="1" x14ac:dyDescent="0.6">
      <c r="A80" s="624"/>
      <c r="B80" s="673"/>
      <c r="C80" s="673"/>
      <c r="D80" s="673"/>
      <c r="E80" s="673"/>
      <c r="F80" s="673"/>
      <c r="G80" s="673"/>
      <c r="H80" s="673"/>
      <c r="I80" s="673"/>
      <c r="J80" s="624"/>
      <c r="K80" s="685"/>
      <c r="L80" s="686"/>
      <c r="M80" s="686"/>
      <c r="N80" s="686"/>
      <c r="O80" s="687"/>
      <c r="P80" s="233"/>
    </row>
    <row r="81" spans="1:16" ht="15.75" customHeight="1" thickBot="1" x14ac:dyDescent="0.75">
      <c r="A81" s="624"/>
      <c r="B81" s="674"/>
      <c r="C81" s="674"/>
      <c r="D81" s="674"/>
      <c r="E81" s="674"/>
      <c r="F81" s="674"/>
      <c r="G81" s="674"/>
      <c r="H81" s="674"/>
      <c r="I81" s="674"/>
      <c r="J81" s="624"/>
      <c r="K81" s="685"/>
      <c r="L81" s="686"/>
      <c r="M81" s="686"/>
      <c r="N81" s="686"/>
      <c r="O81" s="687"/>
      <c r="P81" s="233"/>
    </row>
    <row r="82" spans="1:16" ht="22.15" customHeight="1" thickBot="1" x14ac:dyDescent="0.75">
      <c r="A82" s="624"/>
      <c r="B82" s="675" t="s">
        <v>497</v>
      </c>
      <c r="C82" s="676"/>
      <c r="D82" s="676"/>
      <c r="E82" s="676"/>
      <c r="F82" s="676"/>
      <c r="G82" s="676"/>
      <c r="H82" s="676"/>
      <c r="I82" s="677"/>
      <c r="J82" s="624"/>
      <c r="K82" s="685"/>
      <c r="L82" s="686"/>
      <c r="M82" s="686"/>
      <c r="N82" s="686"/>
      <c r="O82" s="687"/>
      <c r="P82" s="233"/>
    </row>
    <row r="83" spans="1:16" ht="15.75" customHeight="1" thickBot="1" x14ac:dyDescent="0.75">
      <c r="A83" s="624"/>
      <c r="B83" s="661" t="s">
        <v>475</v>
      </c>
      <c r="C83" s="662"/>
      <c r="D83" s="662"/>
      <c r="E83" s="662"/>
      <c r="F83" s="663"/>
      <c r="G83" s="228"/>
      <c r="H83" s="232">
        <v>10</v>
      </c>
      <c r="I83" s="229">
        <f>IF(G83="Yes",H83,0)</f>
        <v>0</v>
      </c>
      <c r="J83" s="624"/>
      <c r="K83" s="685"/>
      <c r="L83" s="686"/>
      <c r="M83" s="686"/>
      <c r="N83" s="686"/>
      <c r="O83" s="687"/>
      <c r="P83" s="233"/>
    </row>
    <row r="84" spans="1:16" ht="15.75" customHeight="1" thickBot="1" x14ac:dyDescent="0.75">
      <c r="A84" s="624"/>
      <c r="B84" s="661" t="s">
        <v>446</v>
      </c>
      <c r="C84" s="662"/>
      <c r="D84" s="662"/>
      <c r="E84" s="662"/>
      <c r="F84" s="663"/>
      <c r="G84" s="228"/>
      <c r="H84" s="232">
        <v>10</v>
      </c>
      <c r="I84" s="229">
        <f>IF(G84="Yes",H84,0)</f>
        <v>0</v>
      </c>
      <c r="J84" s="624"/>
      <c r="K84" s="685"/>
      <c r="L84" s="686"/>
      <c r="M84" s="686"/>
      <c r="N84" s="686"/>
      <c r="O84" s="687"/>
      <c r="P84" s="233"/>
    </row>
    <row r="85" spans="1:16" ht="15.75" customHeight="1" thickBot="1" x14ac:dyDescent="0.75">
      <c r="A85" s="624"/>
      <c r="B85" s="661" t="s">
        <v>498</v>
      </c>
      <c r="C85" s="662"/>
      <c r="D85" s="662"/>
      <c r="E85" s="662"/>
      <c r="F85" s="663"/>
      <c r="G85" s="228"/>
      <c r="H85" s="232">
        <v>10</v>
      </c>
      <c r="I85" s="229">
        <f>IF(G85="Yes",H85,0)</f>
        <v>0</v>
      </c>
      <c r="J85" s="624"/>
      <c r="K85" s="685"/>
      <c r="L85" s="686"/>
      <c r="M85" s="686"/>
      <c r="N85" s="686"/>
      <c r="O85" s="687"/>
      <c r="P85" s="233"/>
    </row>
    <row r="86" spans="1:16" ht="13.75" thickBot="1" x14ac:dyDescent="0.75">
      <c r="A86" s="624"/>
      <c r="B86" s="644"/>
      <c r="C86" s="644"/>
      <c r="D86" s="644"/>
      <c r="E86" s="644"/>
      <c r="F86" s="644"/>
      <c r="G86" s="644"/>
      <c r="H86" s="644"/>
      <c r="I86" s="644"/>
      <c r="J86" s="624"/>
      <c r="K86" s="685"/>
      <c r="L86" s="686"/>
      <c r="M86" s="686"/>
      <c r="N86" s="686"/>
      <c r="O86" s="687"/>
      <c r="P86" s="233"/>
    </row>
    <row r="87" spans="1:16" ht="22.15" customHeight="1" thickBot="1" x14ac:dyDescent="1.05">
      <c r="A87" s="624"/>
      <c r="B87" s="664" t="s">
        <v>499</v>
      </c>
      <c r="C87" s="665"/>
      <c r="D87" s="665"/>
      <c r="E87" s="665"/>
      <c r="F87" s="665"/>
      <c r="G87" s="665"/>
      <c r="H87" s="665"/>
      <c r="I87" s="666"/>
      <c r="J87" s="624"/>
      <c r="K87" s="685"/>
      <c r="L87" s="686"/>
      <c r="M87" s="686"/>
      <c r="N87" s="686"/>
      <c r="O87" s="687"/>
      <c r="P87" s="233"/>
    </row>
    <row r="88" spans="1:16" ht="15.75" customHeight="1" thickBot="1" x14ac:dyDescent="0.75">
      <c r="A88" s="624"/>
      <c r="B88" s="246"/>
      <c r="C88" s="667" t="s">
        <v>450</v>
      </c>
      <c r="D88" s="668"/>
      <c r="E88" s="668"/>
      <c r="F88" s="669"/>
      <c r="G88" s="670"/>
      <c r="H88" s="671"/>
      <c r="I88" s="672"/>
      <c r="J88" s="624"/>
      <c r="K88" s="685"/>
      <c r="L88" s="686"/>
      <c r="M88" s="686"/>
      <c r="N88" s="686"/>
      <c r="O88" s="687"/>
      <c r="P88" s="233"/>
    </row>
    <row r="89" spans="1:16" ht="15.75" customHeight="1" thickBot="1" x14ac:dyDescent="0.75">
      <c r="A89" s="624"/>
      <c r="B89" s="247"/>
      <c r="C89" s="248"/>
      <c r="D89" s="249"/>
      <c r="E89" s="612" t="s">
        <v>451</v>
      </c>
      <c r="F89" s="614"/>
      <c r="G89" s="228"/>
      <c r="H89" s="232">
        <v>1</v>
      </c>
      <c r="I89" s="229">
        <f t="shared" ref="I89:I100" si="3">IF(G89="Yes",H89,0)</f>
        <v>0</v>
      </c>
      <c r="J89" s="624"/>
      <c r="K89" s="688"/>
      <c r="L89" s="689"/>
      <c r="M89" s="689"/>
      <c r="N89" s="689"/>
      <c r="O89" s="690"/>
      <c r="P89" s="233"/>
    </row>
    <row r="90" spans="1:16" ht="15.75" customHeight="1" thickBot="1" x14ac:dyDescent="0.75">
      <c r="A90" s="624"/>
      <c r="B90" s="247"/>
      <c r="C90" s="248"/>
      <c r="D90" s="250"/>
      <c r="E90" s="592" t="s">
        <v>452</v>
      </c>
      <c r="F90" s="593"/>
      <c r="G90" s="228"/>
      <c r="H90" s="232">
        <v>1</v>
      </c>
      <c r="I90" s="229">
        <f t="shared" si="3"/>
        <v>0</v>
      </c>
      <c r="J90" s="624"/>
      <c r="K90" s="257"/>
      <c r="L90" s="257"/>
      <c r="M90" s="257"/>
      <c r="N90" s="257"/>
      <c r="O90" s="257"/>
      <c r="P90" s="230"/>
    </row>
    <row r="91" spans="1:16" ht="15.75" customHeight="1" thickBot="1" x14ac:dyDescent="0.75">
      <c r="A91" s="624"/>
      <c r="B91" s="247"/>
      <c r="C91" s="248"/>
      <c r="D91" s="250"/>
      <c r="E91" s="592" t="s">
        <v>453</v>
      </c>
      <c r="F91" s="593"/>
      <c r="G91" s="228"/>
      <c r="H91" s="232">
        <v>1</v>
      </c>
      <c r="I91" s="229">
        <f t="shared" si="3"/>
        <v>0</v>
      </c>
      <c r="J91" s="624"/>
      <c r="K91" s="257"/>
      <c r="L91" s="257"/>
      <c r="M91" s="257"/>
      <c r="N91" s="257"/>
      <c r="O91" s="257"/>
      <c r="P91" s="230"/>
    </row>
    <row r="92" spans="1:16" ht="15.75" customHeight="1" thickBot="1" x14ac:dyDescent="0.75">
      <c r="A92" s="624"/>
      <c r="B92" s="247"/>
      <c r="C92" s="248"/>
      <c r="D92" s="250"/>
      <c r="E92" s="592" t="s">
        <v>454</v>
      </c>
      <c r="F92" s="593"/>
      <c r="G92" s="228"/>
      <c r="H92" s="232">
        <v>1</v>
      </c>
      <c r="I92" s="229">
        <f t="shared" si="3"/>
        <v>0</v>
      </c>
      <c r="J92" s="624"/>
      <c r="K92" s="257"/>
      <c r="L92" s="257"/>
      <c r="M92" s="257"/>
      <c r="N92" s="257"/>
      <c r="O92" s="257"/>
      <c r="P92" s="230"/>
    </row>
    <row r="93" spans="1:16" ht="15.75" customHeight="1" thickBot="1" x14ac:dyDescent="0.75">
      <c r="A93" s="624"/>
      <c r="B93" s="247"/>
      <c r="C93" s="248"/>
      <c r="D93" s="250"/>
      <c r="E93" s="592" t="s">
        <v>455</v>
      </c>
      <c r="F93" s="593"/>
      <c r="G93" s="228"/>
      <c r="H93" s="232">
        <v>1</v>
      </c>
      <c r="I93" s="229">
        <f t="shared" si="3"/>
        <v>0</v>
      </c>
      <c r="J93" s="624"/>
      <c r="K93" s="257"/>
      <c r="L93" s="257"/>
      <c r="M93" s="257"/>
      <c r="N93" s="257"/>
      <c r="O93" s="257"/>
      <c r="P93" s="230"/>
    </row>
    <row r="94" spans="1:16" ht="15.75" customHeight="1" thickBot="1" x14ac:dyDescent="0.75">
      <c r="A94" s="624"/>
      <c r="B94" s="247"/>
      <c r="C94" s="248"/>
      <c r="D94" s="250"/>
      <c r="E94" s="592" t="s">
        <v>456</v>
      </c>
      <c r="F94" s="593"/>
      <c r="G94" s="228"/>
      <c r="H94" s="232">
        <v>1</v>
      </c>
      <c r="I94" s="229">
        <f t="shared" si="3"/>
        <v>0</v>
      </c>
      <c r="J94" s="624"/>
      <c r="K94" s="257"/>
      <c r="L94" s="257"/>
      <c r="M94" s="257"/>
      <c r="N94" s="257"/>
      <c r="O94" s="257"/>
      <c r="P94" s="230"/>
    </row>
    <row r="95" spans="1:16" ht="15.75" customHeight="1" thickBot="1" x14ac:dyDescent="0.75">
      <c r="A95" s="624"/>
      <c r="B95" s="247"/>
      <c r="C95" s="248"/>
      <c r="D95" s="250"/>
      <c r="E95" s="592" t="s">
        <v>457</v>
      </c>
      <c r="F95" s="593"/>
      <c r="G95" s="228"/>
      <c r="H95" s="232">
        <v>1</v>
      </c>
      <c r="I95" s="229">
        <f t="shared" si="3"/>
        <v>0</v>
      </c>
      <c r="J95" s="624"/>
      <c r="K95" s="257"/>
      <c r="L95" s="257"/>
      <c r="M95" s="257"/>
      <c r="N95" s="257"/>
      <c r="O95" s="257"/>
      <c r="P95" s="230"/>
    </row>
    <row r="96" spans="1:16" ht="15.75" customHeight="1" thickBot="1" x14ac:dyDescent="0.75">
      <c r="A96" s="624"/>
      <c r="B96" s="247"/>
      <c r="C96" s="248"/>
      <c r="D96" s="250"/>
      <c r="E96" s="592" t="s">
        <v>458</v>
      </c>
      <c r="F96" s="593"/>
      <c r="G96" s="228"/>
      <c r="H96" s="232">
        <v>1</v>
      </c>
      <c r="I96" s="229">
        <f t="shared" si="3"/>
        <v>0</v>
      </c>
      <c r="J96" s="624"/>
      <c r="K96" s="257"/>
      <c r="L96" s="257"/>
      <c r="M96" s="257"/>
      <c r="N96" s="257"/>
      <c r="O96" s="257"/>
      <c r="P96" s="230"/>
    </row>
    <row r="97" spans="1:16" ht="15.75" customHeight="1" thickBot="1" x14ac:dyDescent="0.75">
      <c r="A97" s="624"/>
      <c r="B97" s="247"/>
      <c r="C97" s="248"/>
      <c r="D97" s="250"/>
      <c r="E97" s="592" t="s">
        <v>459</v>
      </c>
      <c r="F97" s="593"/>
      <c r="G97" s="228"/>
      <c r="H97" s="232">
        <v>1</v>
      </c>
      <c r="I97" s="229">
        <f t="shared" si="3"/>
        <v>0</v>
      </c>
      <c r="J97" s="624"/>
      <c r="K97" s="257"/>
      <c r="L97" s="257"/>
      <c r="M97" s="257"/>
      <c r="N97" s="257"/>
      <c r="O97" s="257"/>
      <c r="P97" s="230"/>
    </row>
    <row r="98" spans="1:16" ht="15.75" customHeight="1" thickBot="1" x14ac:dyDescent="0.75">
      <c r="A98" s="624"/>
      <c r="B98" s="247"/>
      <c r="C98" s="248"/>
      <c r="D98" s="250"/>
      <c r="E98" s="592" t="s">
        <v>460</v>
      </c>
      <c r="F98" s="593"/>
      <c r="G98" s="228"/>
      <c r="H98" s="232">
        <v>1</v>
      </c>
      <c r="I98" s="229">
        <f t="shared" si="3"/>
        <v>0</v>
      </c>
      <c r="J98" s="624"/>
      <c r="K98" s="257"/>
      <c r="L98" s="257"/>
      <c r="M98" s="257"/>
      <c r="N98" s="257"/>
      <c r="O98" s="257"/>
      <c r="P98" s="230"/>
    </row>
    <row r="99" spans="1:16" ht="15.75" customHeight="1" thickBot="1" x14ac:dyDescent="0.75">
      <c r="A99" s="624"/>
      <c r="B99" s="247"/>
      <c r="C99" s="248"/>
      <c r="D99" s="250"/>
      <c r="E99" s="592" t="s">
        <v>461</v>
      </c>
      <c r="F99" s="593"/>
      <c r="G99" s="228"/>
      <c r="H99" s="232">
        <v>1</v>
      </c>
      <c r="I99" s="229">
        <f t="shared" si="3"/>
        <v>0</v>
      </c>
      <c r="J99" s="624"/>
      <c r="K99" s="257"/>
      <c r="L99" s="257"/>
      <c r="M99" s="257"/>
      <c r="N99" s="257"/>
      <c r="O99" s="257"/>
      <c r="P99" s="230"/>
    </row>
    <row r="100" spans="1:16" ht="15.75" customHeight="1" thickBot="1" x14ac:dyDescent="0.75">
      <c r="A100" s="624"/>
      <c r="B100" s="251"/>
      <c r="C100" s="252"/>
      <c r="D100" s="253"/>
      <c r="E100" s="678" t="s">
        <v>462</v>
      </c>
      <c r="F100" s="678"/>
      <c r="G100" s="228"/>
      <c r="H100" s="232">
        <v>1</v>
      </c>
      <c r="I100" s="229">
        <f t="shared" si="3"/>
        <v>0</v>
      </c>
      <c r="J100" s="624"/>
      <c r="K100" s="257"/>
      <c r="L100" s="257"/>
      <c r="M100" s="257"/>
      <c r="N100" s="257"/>
      <c r="O100" s="257"/>
      <c r="P100" s="230"/>
    </row>
    <row r="101" spans="1:16" x14ac:dyDescent="0.6">
      <c r="A101" s="624"/>
      <c r="B101" s="624"/>
      <c r="C101" s="624"/>
      <c r="D101" s="624"/>
      <c r="E101" s="624"/>
      <c r="F101" s="624"/>
      <c r="G101" s="624"/>
      <c r="H101" s="624"/>
      <c r="I101" s="624"/>
      <c r="J101" s="624"/>
      <c r="K101" s="624"/>
      <c r="L101" s="624"/>
      <c r="M101" s="624"/>
      <c r="N101" s="624"/>
      <c r="O101" s="624"/>
      <c r="P101" s="624"/>
    </row>
    <row r="102" spans="1:16" x14ac:dyDescent="0.6">
      <c r="A102" s="624"/>
      <c r="B102" s="624"/>
      <c r="C102" s="624"/>
      <c r="D102" s="624"/>
      <c r="E102" s="624"/>
      <c r="F102" s="624"/>
      <c r="G102" s="624"/>
      <c r="H102" s="624"/>
      <c r="I102" s="624"/>
      <c r="J102" s="624"/>
      <c r="K102" s="624"/>
      <c r="L102" s="624"/>
      <c r="M102" s="624"/>
      <c r="N102" s="624"/>
      <c r="O102" s="624"/>
      <c r="P102" s="624"/>
    </row>
  </sheetData>
  <sheetProtection algorithmName="SHA-512" hashValue="p0D904aIfpvZAQA5irSSUpvuqibGZ5yXSWOb9+stwXb/fukoyHf8CFAr9JiykmijDyNBykcK3XcmFD0biHLY5Q==" saltValue="6hbyKdOyoUizDJ3BqsTV6w==" spinCount="100000" sheet="1" objects="1" scenarios="1"/>
  <mergeCells count="122">
    <mergeCell ref="S12:V12"/>
    <mergeCell ref="L10:O11"/>
    <mergeCell ref="I10:K11"/>
    <mergeCell ref="I12:K12"/>
    <mergeCell ref="L12:O12"/>
    <mergeCell ref="S13:T14"/>
    <mergeCell ref="K14:O55"/>
    <mergeCell ref="G28:I28"/>
    <mergeCell ref="G10:H12"/>
    <mergeCell ref="G13:G14"/>
    <mergeCell ref="H13:H14"/>
    <mergeCell ref="I13:I14"/>
    <mergeCell ref="B101:P102"/>
    <mergeCell ref="E95:F95"/>
    <mergeCell ref="E96:F96"/>
    <mergeCell ref="E97:F97"/>
    <mergeCell ref="E98:F98"/>
    <mergeCell ref="E99:F99"/>
    <mergeCell ref="E100:F100"/>
    <mergeCell ref="D47:F47"/>
    <mergeCell ref="D48:F48"/>
    <mergeCell ref="D49:F49"/>
    <mergeCell ref="D50:F50"/>
    <mergeCell ref="B51:F51"/>
    <mergeCell ref="K57:O59"/>
    <mergeCell ref="C58:F58"/>
    <mergeCell ref="D59:F59"/>
    <mergeCell ref="K60:O89"/>
    <mergeCell ref="D66:F66"/>
    <mergeCell ref="D73:F73"/>
    <mergeCell ref="D53:F53"/>
    <mergeCell ref="D54:F54"/>
    <mergeCell ref="D56:F56"/>
    <mergeCell ref="B57:F57"/>
    <mergeCell ref="G57:I57"/>
    <mergeCell ref="D55:F55"/>
    <mergeCell ref="B85:F85"/>
    <mergeCell ref="B86:I86"/>
    <mergeCell ref="B87:I87"/>
    <mergeCell ref="C88:F88"/>
    <mergeCell ref="G88:I88"/>
    <mergeCell ref="E89:F89"/>
    <mergeCell ref="B71:F71"/>
    <mergeCell ref="G71:I71"/>
    <mergeCell ref="D70:F70"/>
    <mergeCell ref="C74:F74"/>
    <mergeCell ref="C75:F75"/>
    <mergeCell ref="C72:F72"/>
    <mergeCell ref="C76:F76"/>
    <mergeCell ref="C77:F77"/>
    <mergeCell ref="C78:F78"/>
    <mergeCell ref="C79:F79"/>
    <mergeCell ref="B80:I81"/>
    <mergeCell ref="B82:I82"/>
    <mergeCell ref="B83:F83"/>
    <mergeCell ref="B84:F84"/>
    <mergeCell ref="C44:F44"/>
    <mergeCell ref="J13:J100"/>
    <mergeCell ref="B15:I16"/>
    <mergeCell ref="B17:I17"/>
    <mergeCell ref="B18:F18"/>
    <mergeCell ref="B19:F19"/>
    <mergeCell ref="B20:F20"/>
    <mergeCell ref="B64:F64"/>
    <mergeCell ref="E90:F90"/>
    <mergeCell ref="E91:F91"/>
    <mergeCell ref="E92:F92"/>
    <mergeCell ref="E93:F93"/>
    <mergeCell ref="E94:F94"/>
    <mergeCell ref="B45:F45"/>
    <mergeCell ref="G45:I45"/>
    <mergeCell ref="C46:F46"/>
    <mergeCell ref="E39:F39"/>
    <mergeCell ref="E40:F40"/>
    <mergeCell ref="D41:F41"/>
    <mergeCell ref="B21:F21"/>
    <mergeCell ref="C22:F22"/>
    <mergeCell ref="B23:I23"/>
    <mergeCell ref="D28:F28"/>
    <mergeCell ref="E36:F36"/>
    <mergeCell ref="A1:A102"/>
    <mergeCell ref="B1:P1"/>
    <mergeCell ref="B2:M4"/>
    <mergeCell ref="N2:O4"/>
    <mergeCell ref="B5:E5"/>
    <mergeCell ref="F5:O5"/>
    <mergeCell ref="B6:E6"/>
    <mergeCell ref="F6:O6"/>
    <mergeCell ref="B7:E7"/>
    <mergeCell ref="F7:O7"/>
    <mergeCell ref="E29:F29"/>
    <mergeCell ref="D60:F60"/>
    <mergeCell ref="D61:F61"/>
    <mergeCell ref="B62:I62"/>
    <mergeCell ref="B63:I63"/>
    <mergeCell ref="C69:F69"/>
    <mergeCell ref="C52:F52"/>
    <mergeCell ref="G51:I51"/>
    <mergeCell ref="E42:F42"/>
    <mergeCell ref="E43:F43"/>
    <mergeCell ref="G64:I64"/>
    <mergeCell ref="C65:F65"/>
    <mergeCell ref="C67:F67"/>
    <mergeCell ref="C68:F68"/>
    <mergeCell ref="E37:F37"/>
    <mergeCell ref="E38:F38"/>
    <mergeCell ref="E30:F30"/>
    <mergeCell ref="E31:F31"/>
    <mergeCell ref="E33:F33"/>
    <mergeCell ref="E34:F34"/>
    <mergeCell ref="E35:F35"/>
    <mergeCell ref="D27:F27"/>
    <mergeCell ref="B8:E8"/>
    <mergeCell ref="F8:O8"/>
    <mergeCell ref="B13:F14"/>
    <mergeCell ref="B24:I24"/>
    <mergeCell ref="B25:F25"/>
    <mergeCell ref="G25:I25"/>
    <mergeCell ref="E10:F12"/>
    <mergeCell ref="B10:D12"/>
    <mergeCell ref="C26:F26"/>
    <mergeCell ref="E32:F32"/>
  </mergeCell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3">
        <x14:dataValidation type="list" allowBlank="1" showInputMessage="1" showErrorMessage="1" xr:uid="{00000000-0002-0000-0200-000000000000}">
          <x14:formula1>
            <xm:f>'Pull Down Menus'!$J$1:$J$2</xm:f>
          </x14:formula1>
          <xm:sqref>G89:G100 G18:G21 G83:G85 G72:G79 G65:G70 G58:G60 G52:G55 G46:G49 G29:G43 G26:G27</xm:sqref>
        </x14:dataValidation>
        <x14:dataValidation type="list" allowBlank="1" showInputMessage="1" showErrorMessage="1" xr:uid="{00000000-0002-0000-0200-000001000000}">
          <x14:formula1>
            <xm:f>'Pull Down Menus'!$AD$1:$AD$12</xm:f>
          </x14:formula1>
          <xm:sqref>G61 G44 G50 G56</xm:sqref>
        </x14:dataValidation>
        <x14:dataValidation type="list" allowBlank="1" showInputMessage="1" showErrorMessage="1" xr:uid="{00000000-0002-0000-0200-000002000000}">
          <x14:formula1>
            <xm:f>'Pull Down Menus'!$AE$1:$AE$12</xm:f>
          </x14:formula1>
          <xm:sqref>G22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AN67"/>
  <sheetViews>
    <sheetView topLeftCell="C10" zoomScaleNormal="100" workbookViewId="0">
      <selection activeCell="L13" sqref="F13:L13"/>
    </sheetView>
  </sheetViews>
  <sheetFormatPr defaultColWidth="10.6796875" defaultRowHeight="13" x14ac:dyDescent="0.6"/>
  <cols>
    <col min="1" max="1" width="2.6796875" customWidth="1"/>
    <col min="2" max="2" width="12.6796875" customWidth="1"/>
    <col min="3" max="3" width="10.6796875" customWidth="1"/>
    <col min="4" max="5" width="12.6796875" customWidth="1"/>
    <col min="6" max="6" width="10.6796875" customWidth="1"/>
    <col min="7" max="7" width="12" customWidth="1"/>
    <col min="8" max="8" width="11.453125" customWidth="1"/>
    <col min="9" max="20" width="10.6796875" customWidth="1"/>
    <col min="21" max="37" width="8.6796875" customWidth="1"/>
    <col min="38" max="38" width="2.6796875" customWidth="1"/>
  </cols>
  <sheetData>
    <row r="1" spans="1:40" ht="14.5" thickTop="1" thickBot="1" x14ac:dyDescent="0.75">
      <c r="A1" s="742"/>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3"/>
      <c r="AH1" s="743"/>
      <c r="AI1" s="743"/>
      <c r="AJ1" s="743"/>
      <c r="AK1" s="743"/>
      <c r="AL1" s="744"/>
    </row>
    <row r="2" spans="1:40" ht="25.15" customHeight="1" thickTop="1" thickBot="1" x14ac:dyDescent="0.75">
      <c r="A2" s="387"/>
      <c r="B2" s="745" t="s">
        <v>270</v>
      </c>
      <c r="C2" s="746"/>
      <c r="D2" s="746"/>
      <c r="E2" s="746"/>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7"/>
      <c r="AG2" s="747"/>
      <c r="AH2" s="747"/>
      <c r="AI2" s="747"/>
      <c r="AJ2" s="747"/>
      <c r="AK2" s="748"/>
      <c r="AL2" s="761"/>
    </row>
    <row r="3" spans="1:40" ht="14.5" thickTop="1" thickBot="1" x14ac:dyDescent="0.75">
      <c r="A3" s="387"/>
      <c r="B3" s="388"/>
      <c r="C3" s="388"/>
      <c r="D3" s="388"/>
      <c r="E3" s="388"/>
      <c r="F3" s="388"/>
      <c r="G3" s="388"/>
      <c r="H3" s="388"/>
      <c r="I3" s="388"/>
      <c r="J3" s="388"/>
      <c r="K3" s="388"/>
      <c r="L3" s="388"/>
      <c r="M3" s="388"/>
      <c r="N3" s="388"/>
      <c r="O3" s="388"/>
      <c r="P3" s="388"/>
      <c r="Q3" s="388"/>
      <c r="R3" s="388"/>
      <c r="S3" s="388"/>
      <c r="T3" s="388"/>
      <c r="U3" s="388"/>
      <c r="V3" s="388"/>
      <c r="W3" s="388"/>
      <c r="X3" s="388"/>
      <c r="Y3" s="388"/>
      <c r="Z3" s="388"/>
      <c r="AA3" s="388"/>
      <c r="AB3" s="388"/>
      <c r="AC3" s="388"/>
      <c r="AD3" s="388"/>
      <c r="AE3" s="388"/>
      <c r="AF3" s="388"/>
      <c r="AG3" s="388"/>
      <c r="AH3" s="388"/>
      <c r="AI3" s="388"/>
      <c r="AJ3" s="388"/>
      <c r="AK3" s="388"/>
      <c r="AL3" s="761"/>
    </row>
    <row r="4" spans="1:40" ht="20.149999999999999" customHeight="1" thickTop="1" x14ac:dyDescent="0.7">
      <c r="A4" s="387"/>
      <c r="B4" s="749" t="s">
        <v>510</v>
      </c>
      <c r="C4" s="750"/>
      <c r="D4" s="750"/>
      <c r="E4" s="750"/>
      <c r="F4" s="751"/>
      <c r="G4" s="752" t="str">
        <f>SUBSTITUTE(Summary!$D$5,,Summary!$D$5)</f>
        <v/>
      </c>
      <c r="H4" s="753"/>
      <c r="I4" s="753"/>
      <c r="J4" s="753"/>
      <c r="K4" s="753"/>
      <c r="L4" s="753"/>
      <c r="M4" s="753"/>
      <c r="N4" s="753"/>
      <c r="O4" s="753"/>
      <c r="P4" s="754"/>
      <c r="Q4" s="18"/>
      <c r="R4" s="18"/>
      <c r="S4" s="18"/>
      <c r="T4" s="18"/>
      <c r="U4" s="18"/>
      <c r="V4" s="18"/>
      <c r="W4" s="18"/>
      <c r="X4" s="18"/>
      <c r="Y4" s="18"/>
      <c r="Z4" s="18"/>
      <c r="AA4" s="18"/>
      <c r="AB4" s="18"/>
      <c r="AC4" s="18"/>
      <c r="AD4" s="18"/>
      <c r="AE4" s="18"/>
      <c r="AF4" s="18"/>
      <c r="AG4" s="18"/>
      <c r="AH4" s="18"/>
      <c r="AI4" s="18"/>
      <c r="AJ4" s="18"/>
      <c r="AK4" s="18"/>
      <c r="AL4" s="761"/>
    </row>
    <row r="5" spans="1:40" ht="20.149999999999999" customHeight="1" x14ac:dyDescent="0.7">
      <c r="A5" s="387"/>
      <c r="B5" s="534" t="s">
        <v>66</v>
      </c>
      <c r="C5" s="762"/>
      <c r="D5" s="762"/>
      <c r="E5" s="762"/>
      <c r="F5" s="535"/>
      <c r="G5" s="767" t="str">
        <f>SUBSTITUTE(Summary!D7,,Summary!D7)</f>
        <v/>
      </c>
      <c r="H5" s="768"/>
      <c r="I5" s="768"/>
      <c r="J5" s="768"/>
      <c r="K5" s="768"/>
      <c r="L5" s="768"/>
      <c r="M5" s="768"/>
      <c r="N5" s="768"/>
      <c r="O5" s="768"/>
      <c r="P5" s="769"/>
      <c r="Q5" s="18"/>
      <c r="R5" s="18"/>
      <c r="S5" s="18"/>
      <c r="T5" s="18"/>
      <c r="U5" s="18"/>
      <c r="V5" s="18"/>
      <c r="W5" s="18"/>
      <c r="X5" s="18"/>
      <c r="Y5" s="18"/>
      <c r="Z5" s="18"/>
      <c r="AA5" s="18"/>
      <c r="AB5" s="18"/>
      <c r="AC5" s="18"/>
      <c r="AD5" s="18"/>
      <c r="AE5" s="18"/>
      <c r="AF5" s="18"/>
      <c r="AG5" s="18"/>
      <c r="AH5" s="18"/>
      <c r="AI5" s="18"/>
      <c r="AJ5" s="18"/>
      <c r="AK5" s="18"/>
      <c r="AL5" s="761"/>
    </row>
    <row r="6" spans="1:40" ht="20.149999999999999" customHeight="1" x14ac:dyDescent="0.7">
      <c r="A6" s="387"/>
      <c r="B6" s="534" t="s">
        <v>100</v>
      </c>
      <c r="C6" s="762"/>
      <c r="D6" s="762"/>
      <c r="E6" s="762"/>
      <c r="F6" s="535"/>
      <c r="G6" s="767" t="str">
        <f>SUBSTITUTE(Summary!D8,,Summary!D8)</f>
        <v/>
      </c>
      <c r="H6" s="768"/>
      <c r="I6" s="768"/>
      <c r="J6" s="768"/>
      <c r="K6" s="768"/>
      <c r="L6" s="768"/>
      <c r="M6" s="768"/>
      <c r="N6" s="768"/>
      <c r="O6" s="768"/>
      <c r="P6" s="769"/>
      <c r="Q6" s="18"/>
      <c r="R6" s="18"/>
      <c r="S6" s="18"/>
      <c r="T6" s="18"/>
      <c r="U6" s="18"/>
      <c r="V6" s="18"/>
      <c r="W6" s="18"/>
      <c r="X6" s="18"/>
      <c r="Y6" s="18"/>
      <c r="Z6" s="18"/>
      <c r="AA6" s="18"/>
      <c r="AB6" s="18"/>
      <c r="AC6" s="18"/>
      <c r="AD6" s="18"/>
      <c r="AE6" s="18"/>
      <c r="AF6" s="18"/>
      <c r="AG6" s="18"/>
      <c r="AH6" s="18"/>
      <c r="AI6" s="18"/>
      <c r="AJ6" s="18"/>
      <c r="AK6" s="18"/>
      <c r="AL6" s="761"/>
    </row>
    <row r="7" spans="1:40" ht="20.149999999999999" customHeight="1" thickBot="1" x14ac:dyDescent="0.85">
      <c r="A7" s="387"/>
      <c r="B7" s="764" t="s">
        <v>299</v>
      </c>
      <c r="C7" s="765"/>
      <c r="D7" s="765"/>
      <c r="E7" s="765"/>
      <c r="F7" s="766"/>
      <c r="G7" s="770" t="str">
        <f>SUBSTITUTE(Summary!D9,,Summary!D9)</f>
        <v/>
      </c>
      <c r="H7" s="765"/>
      <c r="I7" s="765"/>
      <c r="J7" s="765"/>
      <c r="K7" s="765"/>
      <c r="L7" s="765"/>
      <c r="M7" s="765"/>
      <c r="N7" s="765"/>
      <c r="O7" s="765"/>
      <c r="P7" s="771"/>
      <c r="Q7" s="18"/>
      <c r="R7" s="18"/>
      <c r="S7" s="18"/>
      <c r="T7" s="18"/>
      <c r="U7" s="18"/>
      <c r="V7" s="18"/>
      <c r="W7" s="18"/>
      <c r="X7" s="18"/>
      <c r="Y7" s="18"/>
      <c r="Z7" s="18"/>
      <c r="AA7" s="18"/>
      <c r="AB7" s="18"/>
      <c r="AC7" s="18"/>
      <c r="AD7" s="18"/>
      <c r="AE7" s="18"/>
      <c r="AF7" s="18"/>
      <c r="AG7" s="18"/>
      <c r="AH7" s="18"/>
      <c r="AI7" s="18"/>
      <c r="AJ7" s="18"/>
      <c r="AK7" s="18"/>
      <c r="AL7" s="761"/>
    </row>
    <row r="8" spans="1:40" ht="20.149999999999999" customHeight="1" thickTop="1" x14ac:dyDescent="0.6">
      <c r="A8" s="387"/>
      <c r="B8" s="30"/>
      <c r="C8" s="18"/>
      <c r="D8" s="18"/>
      <c r="E8" s="18"/>
      <c r="F8" s="18"/>
      <c r="G8" s="18"/>
      <c r="H8" s="18"/>
      <c r="I8" s="18"/>
      <c r="J8" s="18"/>
      <c r="K8" s="18"/>
      <c r="L8" s="18"/>
      <c r="M8" s="18"/>
      <c r="N8" s="18"/>
      <c r="O8" s="18"/>
      <c r="P8" s="18"/>
      <c r="Q8" s="18"/>
      <c r="R8" s="18"/>
      <c r="S8" s="18"/>
      <c r="T8" s="18"/>
      <c r="U8" s="18"/>
      <c r="V8" s="18"/>
      <c r="W8" s="18"/>
      <c r="X8" s="18"/>
      <c r="Y8" s="18"/>
      <c r="Z8" s="18"/>
      <c r="AA8" s="18"/>
      <c r="AB8" s="18"/>
      <c r="AC8" s="18"/>
      <c r="AD8" s="18"/>
      <c r="AE8" s="18"/>
      <c r="AF8" s="18"/>
      <c r="AG8" s="18"/>
      <c r="AH8" s="18"/>
      <c r="AI8" s="18"/>
      <c r="AJ8" s="18"/>
      <c r="AK8" s="18"/>
      <c r="AL8" s="761"/>
    </row>
    <row r="9" spans="1:40" ht="15" customHeight="1" thickBot="1" x14ac:dyDescent="0.75">
      <c r="A9" s="387"/>
      <c r="B9" s="47"/>
      <c r="C9" s="18"/>
      <c r="D9" s="18"/>
      <c r="E9" s="18"/>
      <c r="F9" s="18"/>
      <c r="G9" s="18"/>
      <c r="H9" s="18"/>
      <c r="I9" s="18"/>
      <c r="J9" s="18"/>
      <c r="K9" s="18"/>
      <c r="L9" s="18"/>
      <c r="M9" s="18"/>
      <c r="N9" s="47"/>
      <c r="O9" s="47"/>
      <c r="P9" s="47"/>
      <c r="Q9" s="47"/>
      <c r="R9" s="47"/>
      <c r="S9" s="47"/>
      <c r="T9" s="47"/>
      <c r="U9" s="47"/>
      <c r="V9" s="47"/>
      <c r="W9" s="47"/>
      <c r="X9" s="47"/>
      <c r="Y9" s="47"/>
      <c r="Z9" s="47"/>
      <c r="AA9" s="47"/>
      <c r="AB9" s="47"/>
      <c r="AC9" s="47"/>
      <c r="AD9" s="47"/>
      <c r="AE9" s="47"/>
      <c r="AF9" s="47"/>
      <c r="AG9" s="47"/>
      <c r="AH9" s="47"/>
      <c r="AI9" s="47"/>
      <c r="AJ9" s="47"/>
      <c r="AK9" s="47"/>
      <c r="AL9" s="761"/>
    </row>
    <row r="10" spans="1:40" s="3" customFormat="1" ht="25.5" customHeight="1" thickTop="1" x14ac:dyDescent="0.6">
      <c r="A10" s="387"/>
      <c r="B10" s="725" t="s">
        <v>10</v>
      </c>
      <c r="C10" s="732" t="s">
        <v>272</v>
      </c>
      <c r="D10" s="733"/>
      <c r="E10" s="734"/>
      <c r="F10" s="728" t="s">
        <v>11</v>
      </c>
      <c r="G10" s="61" t="s">
        <v>94</v>
      </c>
      <c r="H10" s="727" t="s">
        <v>419</v>
      </c>
      <c r="I10" s="730" t="s">
        <v>383</v>
      </c>
      <c r="J10" s="730" t="s">
        <v>197</v>
      </c>
      <c r="K10" s="61" t="s">
        <v>86</v>
      </c>
      <c r="L10" s="61" t="s">
        <v>87</v>
      </c>
      <c r="M10" s="61" t="s">
        <v>255</v>
      </c>
      <c r="N10" s="61" t="s">
        <v>88</v>
      </c>
      <c r="O10" s="61" t="s">
        <v>89</v>
      </c>
      <c r="P10" s="61" t="s">
        <v>104</v>
      </c>
      <c r="Q10" s="61" t="s">
        <v>90</v>
      </c>
      <c r="R10" s="61" t="s">
        <v>20</v>
      </c>
      <c r="S10" s="730" t="s">
        <v>390</v>
      </c>
      <c r="T10" s="730" t="s">
        <v>389</v>
      </c>
      <c r="U10" s="466" t="s">
        <v>278</v>
      </c>
      <c r="V10" s="730" t="s">
        <v>258</v>
      </c>
      <c r="W10" s="466" t="s">
        <v>91</v>
      </c>
      <c r="X10" s="466" t="s">
        <v>421</v>
      </c>
      <c r="Y10" s="730" t="s">
        <v>422</v>
      </c>
      <c r="Z10" s="727" t="s">
        <v>423</v>
      </c>
      <c r="AA10" s="727" t="s">
        <v>596</v>
      </c>
      <c r="AB10" s="466" t="s">
        <v>92</v>
      </c>
      <c r="AC10" s="466" t="s">
        <v>93</v>
      </c>
      <c r="AD10" s="466" t="s">
        <v>99</v>
      </c>
      <c r="AE10" s="724"/>
      <c r="AF10" s="724" t="s">
        <v>385</v>
      </c>
      <c r="AG10" s="757"/>
      <c r="AH10" s="758"/>
      <c r="AI10" s="466" t="s">
        <v>196</v>
      </c>
      <c r="AJ10" s="731" t="s">
        <v>195</v>
      </c>
      <c r="AK10" s="731" t="s">
        <v>413</v>
      </c>
      <c r="AL10" s="761"/>
      <c r="AM10" s="59"/>
    </row>
    <row r="11" spans="1:40" s="3" customFormat="1" ht="39" x14ac:dyDescent="0.6">
      <c r="A11" s="387"/>
      <c r="B11" s="726"/>
      <c r="C11" s="735"/>
      <c r="D11" s="736"/>
      <c r="E11" s="737"/>
      <c r="F11" s="729"/>
      <c r="G11" s="62" t="s">
        <v>166</v>
      </c>
      <c r="H11" s="741"/>
      <c r="I11" s="465"/>
      <c r="J11" s="465"/>
      <c r="K11" s="62" t="s">
        <v>165</v>
      </c>
      <c r="L11" s="43" t="s">
        <v>881</v>
      </c>
      <c r="M11" s="62" t="s">
        <v>257</v>
      </c>
      <c r="N11" s="62" t="s">
        <v>354</v>
      </c>
      <c r="O11" s="43" t="s">
        <v>593</v>
      </c>
      <c r="P11" s="62" t="s">
        <v>355</v>
      </c>
      <c r="Q11" s="62" t="s">
        <v>165</v>
      </c>
      <c r="R11" s="62" t="s">
        <v>388</v>
      </c>
      <c r="S11" s="465"/>
      <c r="T11" s="465"/>
      <c r="U11" s="468"/>
      <c r="V11" s="465"/>
      <c r="W11" s="468"/>
      <c r="X11" s="468"/>
      <c r="Y11" s="465"/>
      <c r="Z11" s="465"/>
      <c r="AA11" s="763"/>
      <c r="AB11" s="468"/>
      <c r="AC11" s="468"/>
      <c r="AD11" s="58" t="s">
        <v>102</v>
      </c>
      <c r="AE11" s="66" t="s">
        <v>103</v>
      </c>
      <c r="AF11" s="66" t="s">
        <v>102</v>
      </c>
      <c r="AG11" s="66" t="s">
        <v>386</v>
      </c>
      <c r="AH11" s="66" t="s">
        <v>387</v>
      </c>
      <c r="AI11" s="468"/>
      <c r="AJ11" s="393"/>
      <c r="AK11" s="393"/>
      <c r="AL11" s="761"/>
      <c r="AM11" s="59"/>
    </row>
    <row r="12" spans="1:40" ht="20.149999999999999" customHeight="1" x14ac:dyDescent="0.7">
      <c r="A12" s="387"/>
      <c r="B12" s="276" t="s">
        <v>572</v>
      </c>
      <c r="C12" s="738" t="s">
        <v>573</v>
      </c>
      <c r="D12" s="739"/>
      <c r="E12" s="740"/>
      <c r="F12" s="279" t="s">
        <v>572</v>
      </c>
      <c r="G12" s="279" t="s">
        <v>572</v>
      </c>
      <c r="H12" s="279" t="s">
        <v>572</v>
      </c>
      <c r="I12" s="279" t="s">
        <v>572</v>
      </c>
      <c r="J12" s="279" t="s">
        <v>572</v>
      </c>
      <c r="K12" s="277" t="s">
        <v>574</v>
      </c>
      <c r="L12" s="277" t="s">
        <v>574</v>
      </c>
      <c r="M12" s="277" t="s">
        <v>574</v>
      </c>
      <c r="N12" s="277" t="s">
        <v>574</v>
      </c>
      <c r="O12" s="277" t="s">
        <v>574</v>
      </c>
      <c r="P12" s="277" t="s">
        <v>574</v>
      </c>
      <c r="Q12" s="277" t="s">
        <v>574</v>
      </c>
      <c r="R12" s="277" t="s">
        <v>574</v>
      </c>
      <c r="S12" s="277" t="s">
        <v>574</v>
      </c>
      <c r="T12" s="277" t="s">
        <v>574</v>
      </c>
      <c r="U12" s="128">
        <f>IF(AND($G12="Major",$I12="No",$H12="Specialty",'Tabulation Sheet'!$AM3=1),'Point Schedule'!$P$12,IF(AND($G12="Minor",$I12="No",$H12="Specialty",'Tabulation Sheet'!$AM3=1),'Point Schedule'!$O$12,IF(AND(G12="Major",$H12="Non-Spec",$I12="No",'Tabulation Sheet'!$AM3=1),'Point Schedule'!$P$12,IF(AND(G12="Minor",$H12="Non-Spec",$I12="No",'Tabulation Sheet'!$AM3=1),'Point Schedule'!$O$12,0))))</f>
        <v>0</v>
      </c>
      <c r="V12" s="128">
        <f>IF(AND(G12="Major",$I12="No",M12="Reserve"),'Point Schedule'!$O$14,0)</f>
        <v>0</v>
      </c>
      <c r="W12" s="128">
        <f>IF(AND(G12="Major",$I12="No",N12="BOW"),'Point Schedule'!$P$13,IF(AND(G12="Minor",$I12="No",N12="BOW"),'Point Schedule'!$O$13,0))</f>
        <v>0</v>
      </c>
      <c r="X12" s="128">
        <f>IF(AND($G12="Major",$O12="BOB",$H12="Nat'l Spec"),'Point Schedule'!$O$17,IF(AND($G12="Minor",$O12="BOB",$H12="Nat'l Spec"),'Point Schedule'!$O$17,IF(AND($G12="Major",$O12="BOB",$H12="Specialty"),'Point Schedule'!$P$10,IF(AND($G12="Minor",$O12="BOB",$H12="Specialty"),'Point Schedule'!$O$10,IF(AND($G12="Minor",$O12="BOB",$H12="Spec"),'Point Schedule'!$O$10,IF(AND($G12="Major",$O12="BOB",$H12="Non-Spec"),'Point Schedule'!$P$10,IF(AND($G12="Minor",$O12="BOB",$H12="Non-Spec"),'Point Schedule'!$O$10,0)))))))</f>
        <v>0</v>
      </c>
      <c r="Y12" s="128">
        <f>IF(AND($G12="Major",$P12="BOS",$H12="Nat'l Spec"),'Point Schedule'!$O$18,IF(AND($G12="Minor",$P12="BOS",$H12="Nat'l Spec"),'Point Schedule'!$O$18,IF(AND($G12="Major",$P12="BOS",$H12="Specialty"),'Point Schedule'!$P$10,IF(AND($G12="Minor",$P12="BOS",$H12="Specialty"),'Point Schedule'!$O$10,IF(AND($G12="Minor",$P12="BOS",$H12="Spec"),'Point Schedule'!$O$10,IF(AND($G12="Major",$P12="BOS",$H12="Non-Spec"),'Point Schedule'!$P$10,IF(AND($G12="Minor",$P12="BOS",$H12="Non-Spec"),'Point Schedule'!$O$10,0)))))))</f>
        <v>0</v>
      </c>
      <c r="Z12" s="128">
        <f>IF(AND($G12="Major",$I12="No",$O12="SD"),'Point Schedule'!$P$20,IF(AND($G12="Minor",$I12="No",$O12="SD"),'Point Schedule'!$O$20,IF(AND($G12="Major",$I12="No",$O12="SB"),'Point Schedule'!$P$20,IF(AND($G12="Minor",$I12="No",$O12="SB"),'Point Schedule'!$O$20,0))))</f>
        <v>0</v>
      </c>
      <c r="AA12" s="128">
        <f>IF(AND($G12="Major",$I12="No",$H12="Specialty",$O12="JAM"),'Point Schedule'!$P$20,IF(AND($G12="Minor",$I12="No",$H12="Nat'l Spec",$O12="JAM"),'Point Schedule'!$O$20,IF(AND($G12="Minor",$I12="No",$H12="Non-Spec",$O12="JAM"),'Point Schedule'!$O$20,IF(AND($G12="Minor",$I12="No",$H12="Specialty",$O12="JAM"),'Point Schedule'!$O$20,IF(AND($G12="Major",$H12="Nat'l Spec",$I12="No",$O12="JAM"),'Point Schedule'!$O$21,IF(AND($G12="Major",$I12="No",$H12="Non-Spec",$O12="JAM"),'Point Schedule'!$P$20,0))))))</f>
        <v>0</v>
      </c>
      <c r="AB12" s="128">
        <f>IF(AND(Q12="1st",$O12="BOB",$H12="Non-Spec"), 'Point Schedule'!$O$5, IF(AND(Q12="2nd",$O12="BOB",$H12="Non-Spec"),'Point Schedule'!$O$6, IF(AND(Q12="3rd",$O12="BOB",$H12="Non-Spec"), 'Point Schedule'!$O$7, IF(AND(Q12="4th",$O12="BOB",$H12="Non-Spec"), 'Point Schedule'!$O$8,0))))</f>
        <v>0</v>
      </c>
      <c r="AC12" s="128">
        <f>IF(AND(R12="BIS",$Q12="1st"),'Point Schedule'!$O$4,0)</f>
        <v>0</v>
      </c>
      <c r="AD12" s="128">
        <f>IF(AND($H12="Nat'l Spec",$I12="No",$K12="1st",'Tabulation Sheet'!$AI3=0,$G12="Major"),'Point Schedule'!$W$26,IF(AND($H12="Nat'l Spec",$I12="No",'Tabulation Sheet'!$AI3=0,$K12="1st",$G12="Minor"),'Point Schedule'!$V$26,IF(AND($H12="Specialty",$I12="No",'Tabulation Sheet'!$AI3=0,$K12="1st",$G12="Major"),'Point Schedule'!$O$15,IF(AND($H12="Specialty",$I12="No",'Tabulation Sheet'!$AI3=0,$K12="1st",$G12="Minor"),'Point Schedule'!$O$15,0))))</f>
        <v>0</v>
      </c>
      <c r="AE12" s="129">
        <f>IF(AND(H12="Nat'l Spec",$L12="WD"),'Point Schedule'!$O$19,IF(AND(H12="Nat'l Spec",$L12="WB"),'Point Schedule'!$O$19,0))</f>
        <v>0</v>
      </c>
      <c r="AF12" s="128">
        <f>IF(AND($H12="Nat'l Spec",$K12="1st",I12="Yes"),'Point Schedule'!$V$18,IF(AND($H12="Specialty",$K12="1st",I12="Yes"),'Point Schedule'!$V$15,0))</f>
        <v>0</v>
      </c>
      <c r="AG12" s="128">
        <f>IF(AND($H12="Nat'l Spec",$S12="BIS",$I12="Yes"),'Point Schedule'!$V$19,IF(AND($H12="Specialty",$S12="BIS",$I12="Yes"),'Point Schedule'!$V$16,0))</f>
        <v>0</v>
      </c>
      <c r="AH12" s="128">
        <f>IF(AND($H12="Nat'l Spec",$T12="BOSS",I12="Yes"),'Point Schedule'!$V$20,IF(AND($H12="Specialty",$T12="BOSS",$I12="Yes"),'Point Schedule'!$V$17,0))</f>
        <v>0</v>
      </c>
      <c r="AI12" s="115">
        <f>IF(AND($J12="AM"),SUM($U12:$AE12),0)</f>
        <v>0</v>
      </c>
      <c r="AJ12" s="115">
        <f>IF(AND($J12="Pro",'Tabulation Sheet'!$C$46=0),SUM($U12:$AH12),0)</f>
        <v>0</v>
      </c>
      <c r="AK12" s="116">
        <f>IF('Tabulation Sheet'!$AI3&gt;0,SUM($U12:$AH12),0)</f>
        <v>0</v>
      </c>
      <c r="AL12" s="761"/>
      <c r="AN12" s="128">
        <f>IF(AND($H12="Nat'l Spec",$I12="No",$K12="1st",'Tabulation Sheet'!$AI3&gt;0,$G12="Major"),'Point Schedule'!$W$26,IF(AND($H12="Nat'l Spec",$I12="No",'Tabulation Sheet'!$AI3&gt;0,$K12="1st",$G12="Minor"),'Point Schedule'!$V$26,IF(AND($H12="Specialty",$I12="No",'Tabulation Sheet'!$AI3&gt;0,$K12="1st",$G12="Major"),'Point Schedule'!$W$23,IF(AND($H12="Specialty",$I12="No",'Tabulation Sheet'!$AI3&gt;0,$K12="1st",$G12="Minor"),'Point Schedule'!$V$23,0))))</f>
        <v>0</v>
      </c>
    </row>
    <row r="13" spans="1:40" ht="20.149999999999999" customHeight="1" x14ac:dyDescent="0.7">
      <c r="A13" s="387"/>
      <c r="B13" s="263"/>
      <c r="C13" s="716"/>
      <c r="D13" s="717"/>
      <c r="E13" s="718"/>
      <c r="F13" s="264"/>
      <c r="G13" s="264"/>
      <c r="H13" s="264"/>
      <c r="I13" s="264"/>
      <c r="J13" s="264"/>
      <c r="K13" s="264"/>
      <c r="L13" s="264"/>
      <c r="M13" s="264"/>
      <c r="N13" s="264"/>
      <c r="O13" s="264"/>
      <c r="P13" s="264"/>
      <c r="Q13" s="264"/>
      <c r="R13" s="264"/>
      <c r="S13" s="264"/>
      <c r="T13" s="264"/>
      <c r="U13" s="128">
        <f>IF(AND($G13="Major",$I13="No",$L13="WD"),'Point Schedule'!$P$12,IF(AND($G13="Minor",$I13="No",$L13="WD"),'Point Schedule'!$O$12,IF(AND(G13="Major",$I13="No",L13="WB"),'Point Schedule'!$P$12,IF(AND(G13="Minor",$I13="No",L13="WB"),'Point Schedule'!$O$12,0))))</f>
        <v>0</v>
      </c>
      <c r="V13" s="128">
        <f>IF(AND(G13="Major",$I13="No",M13="Reserve"),'Point Schedule'!$O$14,0)</f>
        <v>0</v>
      </c>
      <c r="W13" s="128">
        <f>IF(AND(G13="Major",$I13="No",N13="BOW"),'Point Schedule'!$P$13,IF(AND(G13="Minor",$I13="No",N13="BOW"),'Point Schedule'!$O$13,0))</f>
        <v>0</v>
      </c>
      <c r="X13" s="128">
        <f>IF(AND($G13="Major",$O13="BOB",$H13="Nat'l Spec"),'Point Schedule'!$O$17,IF(AND($G13="Minor",$O13="BOB",$H13="Nat'l Spec"),'Point Schedule'!$O$17,IF(AND($G13="Major",$O13="BOB",$H13="Specialty"),'Point Schedule'!$P$10,IF(AND($G13="Minor",$O13="BOB",$H13="Specialty"),'Point Schedule'!$O$10,IF(AND($G13="Minor",$O13="BOB",$H13="Spec"),'Point Schedule'!$O$10,IF(AND($G13="Major",$O13="BOB",$H13="Non-Spec"),'Point Schedule'!$P$10,IF(AND($G13="Minor",$O13="BOB",$H13="Non-Spec"),'Point Schedule'!$O$10,0)))))))</f>
        <v>0</v>
      </c>
      <c r="Y13" s="128">
        <f>IF(AND($G13="Major",$P13="BOS",$H13="Nat'l Spec"),'Point Schedule'!$O$18,IF(AND($G13="Minor",$P13="BOS",$H13="Nat'l Spec"),'Point Schedule'!$O$18,IF(AND($G13="Major",$P13="BOS",$H13="Specialty"),'Point Schedule'!$P$10,IF(AND($G13="Minor",$P13="BOS",$H13="Specialty"),'Point Schedule'!$O$10,IF(AND($G13="Minor",$P13="BOS",$H13="Spec"),'Point Schedule'!$O$10,IF(AND($G13="Major",$P13="BOS",$H13="Non-Spec"),'Point Schedule'!$P$10,IF(AND($G13="Minor",$P13="BOS",$H13="Non-Spec"),'Point Schedule'!$O$10,0)))))))</f>
        <v>0</v>
      </c>
      <c r="Z13" s="128">
        <f>IF(AND($G13="Major",$I13="No",$O13="SD"),'Point Schedule'!$P$20,IF(AND($G13="Minor",$I13="No",$O13="SD"),'Point Schedule'!$O$20,IF(AND($G13="Major",$I13="No",$O13="SB"),'Point Schedule'!$P$20,IF(AND($G13="Minor",$I13="No",$O13="SB"),'Point Schedule'!$O$20,0))))</f>
        <v>0</v>
      </c>
      <c r="AA13" s="128">
        <f>IF(AND($G13="Major",$I13="No",$H13="Specialty",$O13="JAM"),'Point Schedule'!$P$20,IF(AND($G13="Minor",$I13="No",$H13="Nat'l Spec",$O13="JAM"),'Point Schedule'!$O$20,IF(AND($G13="Minor",$I13="No",$H13="Non-Spec",$O13="JAM"),'Point Schedule'!$O$20,IF(AND($G13="Minor",$I13="No",$H13="Specialty",$O13="JAM"),'Point Schedule'!$O$20,IF(AND($G13="Major",$H13="Nat'l Spec",$I13="No",$O13="JAM"),'Point Schedule'!$O$21,IF(AND($G13="Major",$I13="No",$H13="Non-Spec",$O13="JAM"),'Point Schedule'!$P$20,0))))))</f>
        <v>0</v>
      </c>
      <c r="AB13" s="128">
        <f>IF(AND(Q13="1st",$O13="BOB",$H13="Non-Spec"), 'Point Schedule'!$O$5, IF(AND(Q13="2nd",$O13="BOB",$H13="Non-Spec"),'Point Schedule'!$O$6, IF(AND(Q13="3rd",$O13="BOB",$H13="Non-Spec"), 'Point Schedule'!$O$7, IF(AND(Q13="4th",$O13="BOB",$H13="Non-Spec"), 'Point Schedule'!$O$8,0))))</f>
        <v>0</v>
      </c>
      <c r="AC13" s="128">
        <f>IF(AND(R13="BIS",$Q13="1st"),'Point Schedule'!$O$4,0)</f>
        <v>0</v>
      </c>
      <c r="AD13" s="128">
        <f>IF(AND($H13="Nat'l Spec",$I13="No",$K13="1st",'Tabulation Sheet'!$AI4=0,$G13="Major"),'Point Schedule'!$W$26,IF(AND($H13="Nat'l Spec",$I13="No",'Tabulation Sheet'!$AI4=0,$K13="1st",$G13="Minor"),'Point Schedule'!$V$26,IF(AND($H13="Specialty",$I13="No",'Tabulation Sheet'!$AI4=0,$K13="1st",$G13="Major"),'Point Schedule'!$O$15,IF(AND($H13="Specialty",$I13="No",'Tabulation Sheet'!$AI4=0,$K13="1st",$G13="Minor"),'Point Schedule'!$O$15,0))))</f>
        <v>0</v>
      </c>
      <c r="AE13" s="129">
        <f>IF(AND(H13="Nat'l Spec",L13="WD"),'Point Schedule'!$O$19,IF(AND(H13="Nat'l Spec",L13="WB"),'Point Schedule'!$O$19,0))</f>
        <v>0</v>
      </c>
      <c r="AF13" s="128">
        <f>IF(AND($H13="Nat'l Spec",$K13="1st",I13="Yes"),'Point Schedule'!$V$18,IF(AND($H13="Specialty",$K13="1st",I13="Yes"),'Point Schedule'!$V$15,0))</f>
        <v>0</v>
      </c>
      <c r="AG13" s="128">
        <f>IF(AND($H13="Nat'l Spec",$S13="BIS",$I13="Yes"),'Point Schedule'!$V$19,IF(AND($H13="Specialty",$S13="BIS",$I13="Yes"),'Point Schedule'!$V$16,0))</f>
        <v>0</v>
      </c>
      <c r="AH13" s="128">
        <f>IF(AND($H13="Nat'l Spec",$T13="BOSS",I13="Yes"),'Point Schedule'!$V$20,IF(AND($H13="Specialty",$T13="BOSS",$I13="Yes"),'Point Schedule'!$V$17,0))</f>
        <v>0</v>
      </c>
      <c r="AI13" s="115">
        <f t="shared" ref="AI13:AI56" si="0">IF(AND($J13="AM"),SUM($U13:$AE13),0)</f>
        <v>0</v>
      </c>
      <c r="AJ13" s="115">
        <f>IF(AND($J13="Pro",'Tabulation Sheet'!$D$46=0),SUM($U13:$AH13),0)</f>
        <v>0</v>
      </c>
      <c r="AK13" s="116">
        <f>IF('Tabulation Sheet'!$AI4=0,SUM($AF13:$AH13),0)</f>
        <v>0</v>
      </c>
      <c r="AL13" s="761"/>
    </row>
    <row r="14" spans="1:40" ht="20.149999999999999" customHeight="1" x14ac:dyDescent="0.7">
      <c r="A14" s="387"/>
      <c r="B14" s="263"/>
      <c r="C14" s="716"/>
      <c r="D14" s="717"/>
      <c r="E14" s="718"/>
      <c r="F14" s="264"/>
      <c r="G14" s="264"/>
      <c r="H14" s="264"/>
      <c r="I14" s="264"/>
      <c r="J14" s="264"/>
      <c r="K14" s="264"/>
      <c r="L14" s="264"/>
      <c r="M14" s="264"/>
      <c r="N14" s="264"/>
      <c r="O14" s="264"/>
      <c r="P14" s="264"/>
      <c r="Q14" s="264"/>
      <c r="R14" s="264"/>
      <c r="S14" s="264"/>
      <c r="T14" s="264"/>
      <c r="U14" s="128">
        <f>IF(AND($G14="Major",$I14="No",$L14="WD"),'Point Schedule'!$P$12,IF(AND($G14="Minor",$I14="No",$L14="WD"),'Point Schedule'!$O$12,IF(AND(G14="Major",$I14="No",L14="WB"),'Point Schedule'!$P$12,IF(AND(G14="Minor",$I14="No",L14="WB"),'Point Schedule'!$O$12,0))))</f>
        <v>0</v>
      </c>
      <c r="V14" s="128">
        <f>IF(AND(G14="Major",$I14="No",M14="Reserve"),'Point Schedule'!$O$14,0)</f>
        <v>0</v>
      </c>
      <c r="W14" s="128">
        <f>IF(AND(G14="Major",$I14="No",N13="BOW"),'Point Schedule'!$P$13,IF(AND(G14="Minor",$I14="No",N13="BOW"),'Point Schedule'!$O$13,0))</f>
        <v>0</v>
      </c>
      <c r="X14" s="128">
        <f>IF(AND($G14="Major",$O14="BOB",$H14="Nat'l Spec"),'Point Schedule'!$O$17,IF(AND($G14="Minor",$O14="BOB",$H14="Nat'l Spec"),'Point Schedule'!$O$17,IF(AND($G14="Major",$O14="BOB",$H14="Specialty"),'Point Schedule'!$P$10,IF(AND($G14="Minor",$O14="BOB",$H14="Specialty"),'Point Schedule'!$O$10,IF(AND($G14="Minor",$O14="BOB",$H14="Spec"),'Point Schedule'!$O$10,IF(AND($G14="Major",$O14="BOB",$H14="Non-Spec"),'Point Schedule'!$P$10,IF(AND($G14="Minor",$O14="BOB",$H14="Non-Spec"),'Point Schedule'!$O$10,0)))))))</f>
        <v>0</v>
      </c>
      <c r="Y14" s="128">
        <f>IF(AND($G14="Major",$P14="BOS",$H14="Nat'l Spec"),'Point Schedule'!$O$18,IF(AND($G14="Minor",$P14="BOS",$H14="Nat'l Spec"),'Point Schedule'!$O$18,IF(AND($G14="Major",$P14="BOS",$H14="Specialty"),'Point Schedule'!$P$10,IF(AND($G14="Minor",$P14="BOS",$H14="Specialty"),'Point Schedule'!$O$10,IF(AND($G14="Minor",$P14="BOS",$H14="Spec"),'Point Schedule'!$O$10,IF(AND($G14="Major",$P14="BOS",$H14="Non-Spec"),'Point Schedule'!$P$10,IF(AND($G14="Minor",$P14="BOS",$H14="Non-Spec"),'Point Schedule'!$O$10,0)))))))</f>
        <v>0</v>
      </c>
      <c r="Z14" s="128">
        <f>IF(AND($G14="Major",$I14="No",$O14="SD"),'Point Schedule'!$P$20,IF(AND($G14="Minor",$I14="No",$O14="SD"),'Point Schedule'!$O$20,IF(AND($G14="Major",$I14="No",$O14="SB"),'Point Schedule'!$P$20,IF(AND($G14="Minor",$I14="No",$O14="SB"),'Point Schedule'!$O$20,0))))</f>
        <v>0</v>
      </c>
      <c r="AA14" s="128">
        <f>IF(AND($G14="Major",$I14="No",$H14="Specialty",$O14="JAM"),'Point Schedule'!$P$20,IF(AND($G14="Minor",$I14="No",$H14="Nat'l Spec",$O14="JAM"),'Point Schedule'!$O$20,IF(AND($G14="Minor",$I14="No",$H14="Non-Spec",$O14="JAM"),'Point Schedule'!$O$20,IF(AND($G14="Minor",$I14="No",$H14="Specialty",$O14="JAM"),'Point Schedule'!$O$20,IF(AND($G14="Major",$H14="Nat'l Spec",$I14="No",$O14="JAM"),'Point Schedule'!$O$21,IF(AND($G14="Major",$I14="No",$H14="Non-Spec",$O14="JAM"),'Point Schedule'!$P$20,0))))))</f>
        <v>0</v>
      </c>
      <c r="AB14" s="128">
        <f>IF(AND(Q14="1st",$O14="BOB",$H14="Non-Spec"), 'Point Schedule'!$O$5, IF(AND(Q14="2nd",$O14="BOB",$H14="Non-Spec"),'Point Schedule'!$O$6, IF(AND(Q14="3rd",$O14="BOB",$H14="Non-Spec"), 'Point Schedule'!$O$7, IF(AND(Q14="4th",$O14="BOB",$H14="Non-Spec"), 'Point Schedule'!$O$8,0))))</f>
        <v>0</v>
      </c>
      <c r="AC14" s="128">
        <f>IF(AND(R14="BIS",$Q14="1st"),'Point Schedule'!$O$4,0)</f>
        <v>0</v>
      </c>
      <c r="AD14" s="128">
        <f>IF(AND($H14="Nat'l Spec",$I14="No",$K14="1st",'Tabulation Sheet'!$AI5=0,$G14="Major"),'Point Schedule'!$W$26,IF(AND($H14="Nat'l Spec",$I14="No",'Tabulation Sheet'!$AI5=0,$K14="1st",$G14="Minor"),'Point Schedule'!$V$26,IF(AND($H14="Specialty",$I14="No",'Tabulation Sheet'!$AI5=0,$K14="1st",$G14="Major"),'Point Schedule'!$O$15,IF(AND($H14="Specialty",$I14="No",'Tabulation Sheet'!$AI5=0,$K14="1st",$G14="Minor"),'Point Schedule'!$O$15,0))))</f>
        <v>0</v>
      </c>
      <c r="AE14" s="129">
        <f>IF(AND(H14="Nat'l Spec",L14="WD"),'Point Schedule'!$O$19,IF(AND(H14="Nat'l Spec",L14="WB"),'Point Schedule'!$O$19,0))</f>
        <v>0</v>
      </c>
      <c r="AF14" s="128">
        <f>IF(AND($H14="Nat'l Spec",$K14="1st",I14="Yes"),'Point Schedule'!$V$18,IF(AND($H14="Specialty",$K14="1st",I14="Yes"),'Point Schedule'!$V$15,0))</f>
        <v>0</v>
      </c>
      <c r="AG14" s="128">
        <f>IF(AND($H14="Nat'l Spec",$S14="BIS",$I14="Yes"),'Point Schedule'!$V$19,IF(AND($H14="Specialty",$S14="BIS",$I14="Yes"),'Point Schedule'!$V$16,0))</f>
        <v>0</v>
      </c>
      <c r="AH14" s="128">
        <f>IF(AND($H14="Nat'l Spec",$T14="BOSS",I14="Yes"),'Point Schedule'!$V$20,IF(AND($H14="Specialty",$T14="BOSS",$I14="Yes"),'Point Schedule'!$V$17,0))</f>
        <v>0</v>
      </c>
      <c r="AI14" s="115">
        <f t="shared" si="0"/>
        <v>0</v>
      </c>
      <c r="AJ14" s="115">
        <f>IF(AND($J14="Pro",'Tabulation Sheet'!$E$46=0),SUM($U14:$AH14),0)</f>
        <v>0</v>
      </c>
      <c r="AK14" s="116">
        <f>IF('Tabulation Sheet'!$AI5=0,SUM($AF14:$AH14),0)</f>
        <v>0</v>
      </c>
      <c r="AL14" s="761"/>
    </row>
    <row r="15" spans="1:40" ht="20.149999999999999" customHeight="1" x14ac:dyDescent="0.7">
      <c r="A15" s="387"/>
      <c r="B15" s="263"/>
      <c r="C15" s="716"/>
      <c r="D15" s="717"/>
      <c r="E15" s="718"/>
      <c r="F15" s="264"/>
      <c r="G15" s="264"/>
      <c r="H15" s="264"/>
      <c r="I15" s="264"/>
      <c r="J15" s="264"/>
      <c r="K15" s="264"/>
      <c r="L15" s="264"/>
      <c r="M15" s="264"/>
      <c r="N15" s="264"/>
      <c r="O15" s="264"/>
      <c r="P15" s="264"/>
      <c r="Q15" s="264"/>
      <c r="R15" s="264"/>
      <c r="S15" s="264"/>
      <c r="T15" s="264"/>
      <c r="U15" s="128">
        <f>IF(AND($G15="Major",$I15="No",$L15="WD"),'Point Schedule'!$P$12,IF(AND($G15="Minor",$I15="No",$L15="WD"),'Point Schedule'!$O$12,IF(AND(G15="Major",$I15="No",L15="WB"),'Point Schedule'!$P$12,IF(AND(G15="Minor",$I15="No",L15="WB"),'Point Schedule'!$O$12,0))))</f>
        <v>0</v>
      </c>
      <c r="V15" s="128">
        <f>IF(AND(G15="Major",$I15="No",M15="Reserve"),'Point Schedule'!$O$14,0)</f>
        <v>0</v>
      </c>
      <c r="W15" s="128">
        <f>IF(AND(G15="Major",$I15="No",N15="BOW"),'Point Schedule'!$P$13,IF(AND(G15="Minor",$I15="No",N15="BOW"),'Point Schedule'!$O$13,0))</f>
        <v>0</v>
      </c>
      <c r="X15" s="128">
        <f>IF(AND($G15="Major",$O15="BOB",$H15="Nat'l Spec"),'Point Schedule'!$O$17,IF(AND($G15="Minor",$O15="BOB",$H15="Nat'l Spec"),'Point Schedule'!$O$17,IF(AND($G15="Major",$O15="BOB",$H15="Specialty"),'Point Schedule'!$P$10,IF(AND($G15="Minor",$O15="BOB",$H15="Specialty"),'Point Schedule'!$O$10,IF(AND($G15="Minor",$O15="BOB",$H15="Spec"),'Point Schedule'!$O$10,IF(AND($G15="Major",$O15="BOB",$H15="Non-Spec"),'Point Schedule'!$P$10,IF(AND($G15="Minor",$O15="BOB",$H15="Non-Spec"),'Point Schedule'!$O$10,0)))))))</f>
        <v>0</v>
      </c>
      <c r="Y15" s="128">
        <f>IF(AND($G15="Major",$P15="BOS",$H15="Nat'l Spec"),'Point Schedule'!$O$18,IF(AND($G15="Minor",$P15="BOS",$H15="Nat'l Spec"),'Point Schedule'!$O$18,IF(AND($G15="Major",$P15="BOS",$H15="Specialty"),'Point Schedule'!$P$10,IF(AND($G15="Minor",$P15="BOS",$H15="Specialty"),'Point Schedule'!$O$10,IF(AND($G15="Minor",$P15="BOS",$H15="Spec"),'Point Schedule'!$O$10,IF(AND($G15="Major",$P15="BOS",$H15="Non-Spec"),'Point Schedule'!$P$10,IF(AND($G15="Minor",$P15="BOS",$H15="Non-Spec"),'Point Schedule'!$O$10,0)))))))</f>
        <v>0</v>
      </c>
      <c r="Z15" s="128">
        <f>IF(AND($G15="Major",$I15="No",$O15="SD"),'Point Schedule'!$P$20,IF(AND($G15="Minor",$I15="No",$O15="SD"),'Point Schedule'!$O$20,IF(AND($G15="Major",$I15="No",$O15="SB"),'Point Schedule'!$P$20,IF(AND($G15="Minor",$I15="No",$O15="SB"),'Point Schedule'!$O$20,0))))</f>
        <v>0</v>
      </c>
      <c r="AA15" s="128">
        <f>IF(AND($G15="Major",$I15="No",$H15="Specialty",$O15="JAM"),'Point Schedule'!$P$20,IF(AND($G15="Minor",$I15="No",$H15="Nat'l Spec",$O15="JAM"),'Point Schedule'!$O$20,IF(AND($G15="Minor",$I15="No",$H15="Non-Spec",$O15="JAM"),'Point Schedule'!$O$20,IF(AND($G15="Minor",$I15="No",$H15="Specialty",$O15="JAM"),'Point Schedule'!$O$20,IF(AND($G15="Major",$H15="Nat'l Spec",$I15="No",$O15="JAM"),'Point Schedule'!$O$21,IF(AND($G15="Major",$I15="No",$H15="Non-Spec",$O15="JAM"),'Point Schedule'!$P$20,0))))))</f>
        <v>0</v>
      </c>
      <c r="AB15" s="128">
        <f>IF(AND(Q15="1st",$O15="BOB",$H15="Non-Spec"), 'Point Schedule'!$O$5, IF(AND(Q15="2nd",$O15="BOB",$H15="Non-Spec"),'Point Schedule'!$O$6, IF(AND(Q15="3rd",$O15="BOB",$H15="Non-Spec"), 'Point Schedule'!$O$7, IF(AND(Q15="4th",$O15="BOB",$H15="Non-Spec"), 'Point Schedule'!$O$8,0))))</f>
        <v>0</v>
      </c>
      <c r="AC15" s="128">
        <f>IF(AND(R15="BIS",$Q15="1st"),'Point Schedule'!$O$4,0)</f>
        <v>0</v>
      </c>
      <c r="AD15" s="128">
        <f>IF(AND($H15="Nat'l Spec",$I15="No",$K15="1st",'Tabulation Sheet'!$AI6=0,$G15="Major"),'Point Schedule'!$W$26,IF(AND($H15="Nat'l Spec",$I15="No",'Tabulation Sheet'!$AI6=0,$K15="1st",$G15="Minor"),'Point Schedule'!$V$26,IF(AND($H15="Specialty",$I15="No",'Tabulation Sheet'!$AI6=0,$K15="1st",$G15="Major"),'Point Schedule'!$O$15,IF(AND($H15="Specialty",$I15="No",'Tabulation Sheet'!$AI6=0,$K15="1st",$G15="Minor"),'Point Schedule'!$O$15,0))))</f>
        <v>0</v>
      </c>
      <c r="AE15" s="129">
        <f>IF(AND(H15="Nat'l Spec",L15="WD"),'Point Schedule'!$O$19,IF(AND(H15="Nat'l Spec",L15="WB"),'Point Schedule'!$O$19,0))</f>
        <v>0</v>
      </c>
      <c r="AF15" s="128">
        <f>IF(AND($H15="Nat'l Spec",$K15="1st",I15="Yes"),'Point Schedule'!$V$18,IF(AND($H15="Specialty",$K15="1st",I15="Yes"),'Point Schedule'!$V$15,0))</f>
        <v>0</v>
      </c>
      <c r="AG15" s="128">
        <f>IF(AND($H15="Nat'l Spec",$S15="BIS",$I15="Yes"),'Point Schedule'!$V$19,IF(AND($H15="Specialty",$S15="BIS",$I15="Yes"),'Point Schedule'!$V$16,0))</f>
        <v>0</v>
      </c>
      <c r="AH15" s="128">
        <f>IF(AND($H15="Nat'l Spec",$T15="BOSS",I15="Yes"),'Point Schedule'!$V$20,IF(AND($H15="Specialty",$T15="BOSS",$I15="Yes"),'Point Schedule'!$V$17,0))</f>
        <v>0</v>
      </c>
      <c r="AI15" s="115">
        <f t="shared" si="0"/>
        <v>0</v>
      </c>
      <c r="AJ15" s="115">
        <f>IF(AND($J15="Pro",'Tabulation Sheet'!$F$46=0),SUM($U15:$AH15),0)</f>
        <v>0</v>
      </c>
      <c r="AK15" s="116">
        <f>IF('Tabulation Sheet'!$AI6=0,SUM($AF15:$AH15),0)</f>
        <v>0</v>
      </c>
      <c r="AL15" s="761"/>
    </row>
    <row r="16" spans="1:40" ht="20.149999999999999" customHeight="1" x14ac:dyDescent="0.7">
      <c r="A16" s="387"/>
      <c r="B16" s="263"/>
      <c r="C16" s="716"/>
      <c r="D16" s="717"/>
      <c r="E16" s="718"/>
      <c r="F16" s="264"/>
      <c r="G16" s="264"/>
      <c r="H16" s="264"/>
      <c r="I16" s="264"/>
      <c r="J16" s="264"/>
      <c r="K16" s="264"/>
      <c r="L16" s="264"/>
      <c r="M16" s="264"/>
      <c r="N16" s="264"/>
      <c r="O16" s="264"/>
      <c r="P16" s="264"/>
      <c r="Q16" s="264"/>
      <c r="R16" s="264"/>
      <c r="S16" s="264"/>
      <c r="T16" s="264"/>
      <c r="U16" s="128">
        <f>IF(AND($G16="Major",$I16="No",$L16="WD"),'Point Schedule'!$P$12,IF(AND($G16="Minor",$I16="No",$L16="WD"),'Point Schedule'!$O$12,IF(AND(G16="Major",$I16="No",L16="WB"),'Point Schedule'!$P$12,IF(AND(G16="Minor",$I16="No",L16="WB"),'Point Schedule'!$O$12,0))))</f>
        <v>0</v>
      </c>
      <c r="V16" s="128">
        <f>IF(AND(G16="Major",$I16="No",M16="Reserve"),'Point Schedule'!$O$14,0)</f>
        <v>0</v>
      </c>
      <c r="W16" s="128">
        <f>IF(AND(G16="Major",$I16="No",N16="BOW"),'Point Schedule'!$P$13,IF(AND(G16="Minor",$I16="No",N16="BOW"),'Point Schedule'!$O$13,0))</f>
        <v>0</v>
      </c>
      <c r="X16" s="128">
        <f>IF(AND($G16="Major",$O16="BOB",$H16="Nat'l Spec"),'Point Schedule'!$O$17,IF(AND($G16="Minor",$O16="BOB",$H16="Nat'l Spec"),'Point Schedule'!$O$17,IF(AND($G16="Major",$O16="BOB",$H16="Specialty"),'Point Schedule'!$P$10,IF(AND($G16="Minor",$O16="BOB",$H16="Specialty"),'Point Schedule'!$O$10,IF(AND($G16="Minor",$O16="BOB",$H16="Spec"),'Point Schedule'!$O$10,IF(AND($G16="Major",$O16="BOB",$H16="Non-Spec"),'Point Schedule'!$P$10,IF(AND($G16="Minor",$O16="BOB",$H16="Non-Spec"),'Point Schedule'!$O$10,0)))))))</f>
        <v>0</v>
      </c>
      <c r="Y16" s="128">
        <f>IF(AND($G16="Major",$P16="BOS",$H16="Nat'l Spec"),'Point Schedule'!$O$18,IF(AND($G16="Minor",$P16="BOS",$H16="Nat'l Spec"),'Point Schedule'!$O$18,IF(AND($G16="Major",$P16="BOS",$H16="Specialty"),'Point Schedule'!$P$10,IF(AND($G16="Minor",$P16="BOS",$H16="Specialty"),'Point Schedule'!$O$10,IF(AND($G16="Minor",$P16="BOS",$H16="Spec"),'Point Schedule'!$O$10,IF(AND($G16="Major",$P16="BOS",$H16="Non-Spec"),'Point Schedule'!$P$10,IF(AND($G16="Minor",$P16="BOS",$H16="Non-Spec"),'Point Schedule'!$O$10,0)))))))</f>
        <v>0</v>
      </c>
      <c r="Z16" s="128">
        <f>IF(AND($G16="Major",$I16="No",$O16="SD"),'Point Schedule'!$P$20,IF(AND($G16="Minor",$I16="No",$O16="SD"),'Point Schedule'!$O$20,IF(AND($G16="Major",$I16="No",$O16="SB"),'Point Schedule'!$P$20,IF(AND($G16="Minor",$I16="No",$O16="SB"),'Point Schedule'!$O$20,0))))</f>
        <v>0</v>
      </c>
      <c r="AA16" s="128">
        <f>IF(AND($G16="Major",$I16="No",$H16="Specialty",$O16="JAM"),'Point Schedule'!$P$20,IF(AND($G16="Minor",$I16="No",$H16="Nat'l Spec",$O16="JAM"),'Point Schedule'!$O$20,IF(AND($G16="Minor",$I16="No",$H16="Non-Spec",$O16="JAM"),'Point Schedule'!$O$20,IF(AND($G16="Minor",$I16="No",$H16="Specialty",$O16="JAM"),'Point Schedule'!$O$20,IF(AND($G16="Major",$H16="Nat'l Spec",$I16="No",$O16="JAM"),'Point Schedule'!$O$21,IF(AND($G16="Major",$I16="No",$H16="Non-Spec",$O16="JAM"),'Point Schedule'!$P$20,0))))))</f>
        <v>0</v>
      </c>
      <c r="AB16" s="128">
        <f>IF(AND(Q16="1st",$O16="BOB",$H16="Non-Spec"), 'Point Schedule'!$O$5, IF(AND(Q16="2nd",$O16="BOB",$H16="Non-Spec"),'Point Schedule'!$O$6, IF(AND(Q16="3rd",$O16="BOB",$H16="Non-Spec"), 'Point Schedule'!$O$7, IF(AND(Q16="4th",$O16="BOB",$H16="Non-Spec"), 'Point Schedule'!$O$8,0))))</f>
        <v>0</v>
      </c>
      <c r="AC16" s="128">
        <f>IF(AND(R16="BIS",$Q16="1st"),'Point Schedule'!$O$4,0)</f>
        <v>0</v>
      </c>
      <c r="AD16" s="128">
        <f>IF(AND($H16="Nat'l Spec",$I16="No",$K16="1st",'Tabulation Sheet'!$AI7=0,$G16="Major"),'Point Schedule'!$W$26,IF(AND($H16="Nat'l Spec",$I16="No",'Tabulation Sheet'!$AI7=0,$K16="1st",$G16="Minor"),'Point Schedule'!$V$26,IF(AND($H16="Specialty",$I16="No",'Tabulation Sheet'!$AI7=0,$K16="1st",$G16="Major"),'Point Schedule'!$O$15,IF(AND($H16="Specialty",$I16="No",'Tabulation Sheet'!$AI7=0,$K16="1st",$G16="Minor"),'Point Schedule'!$O$15,0))))</f>
        <v>0</v>
      </c>
      <c r="AE16" s="129">
        <f>IF(AND(H16="Nat'l Spec",L16="WD"),'Point Schedule'!$O$19,IF(AND(H16="Nat'l Spec",L16="WB"),'Point Schedule'!$O$19,0))</f>
        <v>0</v>
      </c>
      <c r="AF16" s="128">
        <f>IF(AND($H16="Nat'l Spec",$K16="1st",I16="Yes"),'Point Schedule'!$V$18,IF(AND($H16="Specialty",$K16="1st",I16="Yes"),'Point Schedule'!$V$15,0))</f>
        <v>0</v>
      </c>
      <c r="AG16" s="128">
        <f>IF(AND($H16="Nat'l Spec",$S16="BIS",$I16="Yes"),'Point Schedule'!$V$19,IF(AND($H16="Specialty",$S16="BIS",$I16="Yes"),'Point Schedule'!$V$16,0))</f>
        <v>0</v>
      </c>
      <c r="AH16" s="128">
        <f>IF(AND($H16="Nat'l Spec",$T16="BOSS",I16="Yes"),'Point Schedule'!$V$20,IF(AND($H16="Specialty",$T16="BOSS",$I16="Yes"),'Point Schedule'!$V$17,0))</f>
        <v>0</v>
      </c>
      <c r="AI16" s="115">
        <f t="shared" si="0"/>
        <v>0</v>
      </c>
      <c r="AJ16" s="115">
        <f>IF(AND($J16="Pro",'Tabulation Sheet'!$G$46=0),SUM($U16:$AH16),0)</f>
        <v>0</v>
      </c>
      <c r="AK16" s="116">
        <f>IF('Tabulation Sheet'!$AI7=0,SUM($AF16:$AH16),0)</f>
        <v>0</v>
      </c>
      <c r="AL16" s="761"/>
    </row>
    <row r="17" spans="1:38" ht="20.149999999999999" customHeight="1" x14ac:dyDescent="0.7">
      <c r="A17" s="387"/>
      <c r="B17" s="263"/>
      <c r="C17" s="716"/>
      <c r="D17" s="717"/>
      <c r="E17" s="718"/>
      <c r="F17" s="264"/>
      <c r="G17" s="264"/>
      <c r="H17" s="264"/>
      <c r="I17" s="264"/>
      <c r="J17" s="264"/>
      <c r="K17" s="264"/>
      <c r="L17" s="264"/>
      <c r="M17" s="264"/>
      <c r="N17" s="264"/>
      <c r="O17" s="264"/>
      <c r="P17" s="264"/>
      <c r="Q17" s="264"/>
      <c r="R17" s="264"/>
      <c r="S17" s="264"/>
      <c r="T17" s="264"/>
      <c r="U17" s="128">
        <f>IF(AND($G17="Major",$I17="No",$L17="WD"),'Point Schedule'!$P$12,IF(AND($G17="Minor",$I17="No",$L17="WD"),'Point Schedule'!$O$12,IF(AND(G17="Major",$I17="No",L17="WB"),'Point Schedule'!$P$12,IF(AND(G17="Minor",$I17="No",L17="WB"),'Point Schedule'!$O$12,0))))</f>
        <v>0</v>
      </c>
      <c r="V17" s="128">
        <f>IF(AND(G17="Major",$I17="No",M17="Reserve"),'Point Schedule'!$O$14,0)</f>
        <v>0</v>
      </c>
      <c r="W17" s="128">
        <f>IF(AND(G17="Major",$I17="No",N17="BOW"),'Point Schedule'!$P$13,IF(AND(G17="Minor",$I17="No",N17="BOW"),'Point Schedule'!$O$13,0))</f>
        <v>0</v>
      </c>
      <c r="X17" s="128">
        <f>IF(AND($G17="Major",$O17="BOB",$H17="Nat'l Spec"),'Point Schedule'!$O$17,IF(AND($G17="Minor",$O17="BOB",$H17="Nat'l Spec"),'Point Schedule'!$O$17,IF(AND($G17="Major",$O17="BOB",$H17="Specialty"),'Point Schedule'!$P$10,IF(AND($G17="Minor",$O17="BOB",$H17="Specialty"),'Point Schedule'!$O$10,IF(AND($G17="Minor",$O17="BOB",$H17="Spec"),'Point Schedule'!$O$10,IF(AND($G17="Major",$O17="BOB",$H17="Non-Spec"),'Point Schedule'!$P$10,IF(AND($G17="Minor",$O17="BOB",$H17="Non-Spec"),'Point Schedule'!$O$10,0)))))))</f>
        <v>0</v>
      </c>
      <c r="Y17" s="128">
        <f>IF(AND($G17="Major",$P17="BOS",$H17="Nat'l Spec"),'Point Schedule'!$O$18,IF(AND($G17="Minor",$P17="BOS",$H17="Nat'l Spec"),'Point Schedule'!$O$18,IF(AND($G17="Major",$P17="BOS",$H17="Specialty"),'Point Schedule'!$P$10,IF(AND($G17="Minor",$P17="BOS",$H17="Specialty"),'Point Schedule'!$O$10,IF(AND($G17="Minor",$P17="BOS",$H17="Spec"),'Point Schedule'!$O$10,IF(AND($G17="Major",$P17="BOS",$H17="Non-Spec"),'Point Schedule'!$P$10,IF(AND($G17="Minor",$P17="BOS",$H17="Non-Spec"),'Point Schedule'!$O$10,0)))))))</f>
        <v>0</v>
      </c>
      <c r="Z17" s="128">
        <f>IF(AND($G17="Major",$I17="No",$O17="SD"),'Point Schedule'!$P$20,IF(AND($G17="Minor",$I17="No",$O17="SD"),'Point Schedule'!$O$20,IF(AND($G17="Major",$I17="No",$O17="SB"),'Point Schedule'!$P$20,IF(AND($G17="Minor",$I17="No",$O17="SB"),'Point Schedule'!$O$20,0))))</f>
        <v>0</v>
      </c>
      <c r="AA17" s="128">
        <f>IF(AND($G17="Major",$I17="No",$H17="Specialty",$O17="JAM"),'Point Schedule'!$P$20,IF(AND($G17="Minor",$I17="No",$H17="Nat'l Spec",$O17="JAM"),'Point Schedule'!$O$20,IF(AND($G17="Minor",$I17="No",$H17="Non-Spec",$O17="JAM"),'Point Schedule'!$O$20,IF(AND($G17="Minor",$I17="No",$H17="Specialty",$O17="JAM"),'Point Schedule'!$O$20,IF(AND($G17="Major",$H17="Nat'l Spec",$I17="No",$O17="JAM"),'Point Schedule'!$O$21,IF(AND($G17="Major",$I17="No",$H17="Non-Spec",$O17="JAM"),'Point Schedule'!$P$20,0))))))</f>
        <v>0</v>
      </c>
      <c r="AB17" s="128">
        <f>IF(AND(Q17="1st",$O17="BOB",$H17="Non-Spec"), 'Point Schedule'!$O$5, IF(AND(Q17="2nd",$O17="BOB",$H17="Non-Spec"),'Point Schedule'!$O$6, IF(AND(Q17="3rd",$O17="BOB",$H17="Non-Spec"), 'Point Schedule'!$O$7, IF(AND(Q17="4th",$O17="BOB",$H17="Non-Spec"), 'Point Schedule'!$O$8,0))))</f>
        <v>0</v>
      </c>
      <c r="AC17" s="128">
        <f>IF(AND(R17="BIS",$Q17="1st"),'Point Schedule'!$O$4,0)</f>
        <v>0</v>
      </c>
      <c r="AD17" s="128">
        <f>IF(AND($H17="Nat'l Spec",$I17="No",$K17="1st",'Tabulation Sheet'!$AI8=0,$G17="Major"),'Point Schedule'!$W$26,IF(AND($H17="Nat'l Spec",$I17="No",'Tabulation Sheet'!$AI8=0,$K17="1st",$G17="Minor"),'Point Schedule'!$V$26,IF(AND($H17="Specialty",$I17="No",'Tabulation Sheet'!$AI8=0,$K17="1st",$G17="Major"),'Point Schedule'!$O$15,IF(AND($H17="Specialty",$I17="No",'Tabulation Sheet'!$AI8=0,$K17="1st",$G17="Minor"),'Point Schedule'!$O$15,0))))</f>
        <v>0</v>
      </c>
      <c r="AE17" s="129">
        <f>IF(AND(H17="Nat'l Spec",L17="WD"),'Point Schedule'!$O$19,IF(AND(H17="Nat'l Spec",L17="WB"),'Point Schedule'!$O$19,0))</f>
        <v>0</v>
      </c>
      <c r="AF17" s="128">
        <f>IF(AND($H17="Nat'l Spec",$K17="1st",I17="Yes"),'Point Schedule'!$V$18,IF(AND($H17="Specialty",$K17="1st",I17="Yes"),'Point Schedule'!$V$15,0))</f>
        <v>0</v>
      </c>
      <c r="AG17" s="128">
        <f>IF(AND($H17="Nat'l Spec",$S17="BIS",$I17="Yes"),'Point Schedule'!$V$19,IF(AND($H17="Specialty",$S17="BIS",$I17="Yes"),'Point Schedule'!$V$16,0))</f>
        <v>0</v>
      </c>
      <c r="AH17" s="128">
        <f>IF(AND($H17="Nat'l Spec",$T17="BOSS",I17="Yes"),'Point Schedule'!$V$20,IF(AND($H17="Specialty",$T17="BOSS",$I17="Yes"),'Point Schedule'!$V$17,0))</f>
        <v>0</v>
      </c>
      <c r="AI17" s="115">
        <f t="shared" si="0"/>
        <v>0</v>
      </c>
      <c r="AJ17" s="115">
        <f>IF(AND($J17="Pro",'Tabulation Sheet'!$H$46=0),SUM($U17:$AH17),0)</f>
        <v>0</v>
      </c>
      <c r="AK17" s="116">
        <f>IF('Tabulation Sheet'!$AI8=0,SUM($AF17:$AH17),0)</f>
        <v>0</v>
      </c>
      <c r="AL17" s="761"/>
    </row>
    <row r="18" spans="1:38" ht="20.149999999999999" customHeight="1" x14ac:dyDescent="0.7">
      <c r="A18" s="387"/>
      <c r="B18" s="263"/>
      <c r="C18" s="716"/>
      <c r="D18" s="717"/>
      <c r="E18" s="718"/>
      <c r="F18" s="264"/>
      <c r="G18" s="264"/>
      <c r="H18" s="264"/>
      <c r="I18" s="264"/>
      <c r="J18" s="264"/>
      <c r="K18" s="264"/>
      <c r="L18" s="264"/>
      <c r="M18" s="264"/>
      <c r="N18" s="264"/>
      <c r="O18" s="264"/>
      <c r="P18" s="264"/>
      <c r="Q18" s="264"/>
      <c r="R18" s="264"/>
      <c r="S18" s="264"/>
      <c r="T18" s="264"/>
      <c r="U18" s="128">
        <f>IF(AND($G18="Major",$I18="No",$L18="WD"),'Point Schedule'!$P$12,IF(AND($G18="Minor",$I18="No",$L18="WD"),'Point Schedule'!$O$12,IF(AND(G18="Major",$I18="No",L18="WB"),'Point Schedule'!$P$12,IF(AND(G18="Minor",$I18="No",L18="WB"),'Point Schedule'!$O$12,0))))</f>
        <v>0</v>
      </c>
      <c r="V18" s="128">
        <f>IF(AND(G18="Major",$I18="No",M18="Reserve"),'Point Schedule'!$O$14,0)</f>
        <v>0</v>
      </c>
      <c r="W18" s="128">
        <f>IF(AND(G18="Major",$I18="No",N18="BOW"),'Point Schedule'!$P$13,IF(AND(G18="Minor",$I18="No",N18="BOW"),'Point Schedule'!$O$13,0))</f>
        <v>0</v>
      </c>
      <c r="X18" s="128">
        <f>IF(AND($G18="Major",$O18="BOB",$H18="Nat'l Spec"),'Point Schedule'!$O$17,IF(AND($G18="Minor",$O18="BOB",$H18="Nat'l Spec"),'Point Schedule'!$O$17,IF(AND($G18="Major",$O18="BOB",$H18="Specialty"),'Point Schedule'!$P$10,IF(AND($G18="Minor",$O18="BOB",$H18="Specialty"),'Point Schedule'!$O$10,IF(AND($G18="Minor",$O18="BOB",$H18="Spec"),'Point Schedule'!$O$10,IF(AND($G18="Major",$O18="BOB",$H18="Non-Spec"),'Point Schedule'!$P$10,IF(AND($G18="Minor",$O18="BOB",$H18="Non-Spec"),'Point Schedule'!$O$10,0)))))))</f>
        <v>0</v>
      </c>
      <c r="Y18" s="128">
        <f>IF(AND($G18="Major",$P18="BOS",$H18="Nat'l Spec"),'Point Schedule'!$O$18,IF(AND($G18="Minor",$P18="BOS",$H18="Nat'l Spec"),'Point Schedule'!$O$18,IF(AND($G18="Major",$P18="BOS",$H18="Specialty"),'Point Schedule'!$P$10,IF(AND($G18="Minor",$P18="BOS",$H18="Specialty"),'Point Schedule'!$O$10,IF(AND($G18="Minor",$P18="BOS",$H18="Spec"),'Point Schedule'!$O$10,IF(AND($G18="Major",$P18="BOS",$H18="Non-Spec"),'Point Schedule'!$P$10,IF(AND($G18="Minor",$P18="BOS",$H18="Non-Spec"),'Point Schedule'!$O$10,0)))))))</f>
        <v>0</v>
      </c>
      <c r="Z18" s="128">
        <f>IF(AND($G18="Major",$I18="No",$O18="SD"),'Point Schedule'!$P$20,IF(AND($G18="Minor",$I18="No",$O18="SD"),'Point Schedule'!$O$20,IF(AND($G18="Major",$I18="No",$O18="SB"),'Point Schedule'!$P$20,IF(AND($G18="Minor",$I18="No",$O18="SB"),'Point Schedule'!$O$20,0))))</f>
        <v>0</v>
      </c>
      <c r="AA18" s="128">
        <f>IF(AND($G18="Major",$I18="No",$H18="Specialty",$O18="JAM"),'Point Schedule'!$P$20,IF(AND($G18="Minor",$I18="No",$H18="Nat'l Spec",$O18="JAM"),'Point Schedule'!$O$20,IF(AND($G18="Minor",$I18="No",$H18="Non-Spec",$O18="JAM"),'Point Schedule'!$O$20,IF(AND($G18="Minor",$I18="No",$H18="Specialty",$O18="JAM"),'Point Schedule'!$O$20,IF(AND($G18="Major",$H18="Nat'l Spec",$I18="No",$O18="JAM"),'Point Schedule'!$O$21,IF(AND($G18="Major",$I18="No",$H18="Non-Spec",$O18="JAM"),'Point Schedule'!$P$20,0))))))</f>
        <v>0</v>
      </c>
      <c r="AB18" s="128">
        <f>IF(AND(Q18="1st",$O18="BOB",$H18="Non-Spec"), 'Point Schedule'!$O$5, IF(AND(Q18="2nd",$O18="BOB",$H18="Non-Spec"),'Point Schedule'!$O$6, IF(AND(Q18="3rd",$O18="BOB",$H18="Non-Spec"), 'Point Schedule'!$O$7, IF(AND(Q18="4th",$O18="BOB",$H18="Non-Spec"), 'Point Schedule'!$O$8,0))))</f>
        <v>0</v>
      </c>
      <c r="AC18" s="128">
        <f>IF(AND(R18="BIS",$Q18="1st"),'Point Schedule'!$O$4,0)</f>
        <v>0</v>
      </c>
      <c r="AD18" s="128">
        <f>IF(AND($H18="Nat'l Spec",$I18="No",$K18="1st",'Tabulation Sheet'!$AI9=0,$G18="Major"),'Point Schedule'!$W$26,IF(AND($H18="Nat'l Spec",$I18="No",'Tabulation Sheet'!$AI9=0,$K18="1st",$G18="Minor"),'Point Schedule'!$V$26,IF(AND($H18="Specialty",$I18="No",'Tabulation Sheet'!$AI9=0,$K18="1st",$G18="Major"),'Point Schedule'!$O$15,IF(AND($H18="Specialty",$I18="No",'Tabulation Sheet'!$AI9=0,$K18="1st",$G18="Minor"),'Point Schedule'!$O$15,0))))</f>
        <v>0</v>
      </c>
      <c r="AE18" s="129">
        <f>IF(AND(H18="Nat'l Spec",L18="WD"),'Point Schedule'!$O$19,IF(AND(H18="Nat'l Spec",L18="WB"),'Point Schedule'!$O$19,0))</f>
        <v>0</v>
      </c>
      <c r="AF18" s="128">
        <f>IF(AND($H18="Nat'l Spec",$K18="1st",I18="Yes"),'Point Schedule'!$V$18,IF(AND($H18="Specialty",$K18="1st",I18="Yes"),'Point Schedule'!$V$15,0))</f>
        <v>0</v>
      </c>
      <c r="AG18" s="128">
        <f>IF(AND($H18="Nat'l Spec",$S18="BIS",$I18="Yes"),'Point Schedule'!$V$19,IF(AND($H18="Specialty",$S18="BIS",$I18="Yes"),'Point Schedule'!$V$16,0))</f>
        <v>0</v>
      </c>
      <c r="AH18" s="128">
        <f>IF(AND($H18="Nat'l Spec",$T18="BOSS",I18="Yes"),'Point Schedule'!$V$20,IF(AND($H18="Specialty",$T18="BOSS",$I18="Yes"),'Point Schedule'!$V$17,0))</f>
        <v>0</v>
      </c>
      <c r="AI18" s="115">
        <f t="shared" si="0"/>
        <v>0</v>
      </c>
      <c r="AJ18" s="115">
        <f>IF(AND($J18="Pro",'Tabulation Sheet'!$I$46=0),SUM($U18:$AH18),0)</f>
        <v>0</v>
      </c>
      <c r="AK18" s="116">
        <f>IF('Tabulation Sheet'!$AI9=0,SUM($AF18:$AH18),0)</f>
        <v>0</v>
      </c>
      <c r="AL18" s="761"/>
    </row>
    <row r="19" spans="1:38" ht="20.149999999999999" customHeight="1" x14ac:dyDescent="0.7">
      <c r="A19" s="387"/>
      <c r="B19" s="263"/>
      <c r="C19" s="716"/>
      <c r="D19" s="717"/>
      <c r="E19" s="718"/>
      <c r="F19" s="264"/>
      <c r="G19" s="264"/>
      <c r="H19" s="264"/>
      <c r="I19" s="264"/>
      <c r="J19" s="264"/>
      <c r="K19" s="264"/>
      <c r="L19" s="264"/>
      <c r="M19" s="264"/>
      <c r="N19" s="264"/>
      <c r="O19" s="264"/>
      <c r="P19" s="264"/>
      <c r="Q19" s="264"/>
      <c r="R19" s="264"/>
      <c r="S19" s="264"/>
      <c r="T19" s="264"/>
      <c r="U19" s="128">
        <f>IF(AND($G19="Major",$I19="No",$L19="WD"),'Point Schedule'!$P$12,IF(AND($G19="Minor",$I19="No",$L19="WD"),'Point Schedule'!$O$12,IF(AND(G19="Major",$I19="No",L19="WB"),'Point Schedule'!$P$12,IF(AND(G19="Minor",$I19="No",L19="WB"),'Point Schedule'!$O$12,0))))</f>
        <v>0</v>
      </c>
      <c r="V19" s="128">
        <f>IF(AND(G19="Major",$I19="No",M19="Reserve"),'Point Schedule'!$O$14,0)</f>
        <v>0</v>
      </c>
      <c r="W19" s="128">
        <f>IF(AND(G19="Major",$I19="No",N19="BOW"),'Point Schedule'!$P$13,IF(AND(G19="Minor",$I19="No",N19="BOW"),'Point Schedule'!$O$13,0))</f>
        <v>0</v>
      </c>
      <c r="X19" s="128">
        <f>IF(AND($G19="Major",$O19="BOB",$H19="Nat'l Spec"),'Point Schedule'!$O$17,IF(AND($G19="Minor",$O19="BOB",$H19="Nat'l Spec"),'Point Schedule'!$O$17,IF(AND($G19="Major",$O19="BOB",$H19="Specialty"),'Point Schedule'!$P$10,IF(AND($G19="Minor",$O19="BOB",$H19="Specialty"),'Point Schedule'!$O$10,IF(AND($G19="Minor",$O19="BOB",$H19="Spec"),'Point Schedule'!$O$10,IF(AND($G19="Major",$O19="BOB",$H19="Non-Spec"),'Point Schedule'!$P$10,IF(AND($G19="Minor",$O19="BOB",$H19="Non-Spec"),'Point Schedule'!$O$10,0)))))))</f>
        <v>0</v>
      </c>
      <c r="Y19" s="128">
        <f>IF(AND($G19="Major",$P19="BOS",$H19="Nat'l Spec"),'Point Schedule'!$O$18,IF(AND($G19="Minor",$P19="BOS",$H19="Nat'l Spec"),'Point Schedule'!$O$18,IF(AND($G19="Major",$P19="BOS",$H19="Specialty"),'Point Schedule'!$P$10,IF(AND($G19="Minor",$P19="BOS",$H19="Specialty"),'Point Schedule'!$O$10,IF(AND($G19="Minor",$P19="BOS",$H19="Spec"),'Point Schedule'!$O$10,IF(AND($G19="Major",$P19="BOS",$H19="Non-Spec"),'Point Schedule'!$P$10,IF(AND($G19="Minor",$P19="BOS",$H19="Non-Spec"),'Point Schedule'!$O$10,0)))))))</f>
        <v>0</v>
      </c>
      <c r="Z19" s="128">
        <f>IF(AND($G19="Major",$I19="No",$O19="SD"),'Point Schedule'!$P$20,IF(AND($G19="Minor",$I19="No",$O19="SD"),'Point Schedule'!$O$20,IF(AND($G19="Major",$I19="No",$O19="SB"),'Point Schedule'!$P$20,IF(AND($G19="Minor",$I19="No",$O19="SB"),'Point Schedule'!$O$20,0))))</f>
        <v>0</v>
      </c>
      <c r="AA19" s="128">
        <f>IF(AND($G19="Major",$I19="No",$H19="Specialty",$O19="JAM"),'Point Schedule'!$P$20,IF(AND($G19="Minor",$I19="No",$H19="Nat'l Spec",$O19="JAM"),'Point Schedule'!$O$20,IF(AND($G19="Minor",$I19="No",$H19="Non-Spec",$O19="JAM"),'Point Schedule'!$O$20,IF(AND($G19="Minor",$I19="No",$H19="Specialty",$O19="JAM"),'Point Schedule'!$O$20,IF(AND($G19="Major",$H19="Nat'l Spec",$I19="No",$O19="JAM"),'Point Schedule'!$O$21,IF(AND($G19="Major",$I19="No",$H19="Non-Spec",$O19="JAM"),'Point Schedule'!$P$20,0))))))</f>
        <v>0</v>
      </c>
      <c r="AB19" s="128">
        <f>IF(AND(Q19="1st",$O19="BOB",$H19="Non-Spec"), 'Point Schedule'!$O$5, IF(AND(Q19="2nd",$O19="BOB",$H19="Non-Spec"),'Point Schedule'!$O$6, IF(AND(Q19="3rd",$O19="BOB",$H19="Non-Spec"), 'Point Schedule'!$O$7, IF(AND(Q19="4th",$O19="BOB",$H19="Non-Spec"), 'Point Schedule'!$O$8,0))))</f>
        <v>0</v>
      </c>
      <c r="AC19" s="128">
        <f>IF(AND(R19="BIS",$Q19="1st"),'Point Schedule'!$O$4,0)</f>
        <v>0</v>
      </c>
      <c r="AD19" s="128">
        <f>IF(AND($H19="Nat'l Spec",$I19="No",$K19="1st",'Tabulation Sheet'!$AI10=0,$G19="Major"),'Point Schedule'!$W$26,IF(AND($H19="Nat'l Spec",$I19="No",'Tabulation Sheet'!$AI10=0,$K19="1st",$G19="Minor"),'Point Schedule'!$V$26,IF(AND($H19="Specialty",$I19="No",'Tabulation Sheet'!$AI10=0,$K19="1st",$G19="Major"),'Point Schedule'!$O$15,IF(AND($H19="Specialty",$I19="No",'Tabulation Sheet'!$AI10=0,$K19="1st",$G19="Minor"),'Point Schedule'!$O$15,0))))</f>
        <v>0</v>
      </c>
      <c r="AE19" s="129">
        <f>IF(AND(H19="Nat'l Spec",L19="WD"),'Point Schedule'!$O$19,IF(AND(H19="Nat'l Spec",L19="WB"),'Point Schedule'!$O$19,0))</f>
        <v>0</v>
      </c>
      <c r="AF19" s="128">
        <f>IF(AND($H19="Nat'l Spec",$K19="1st",I19="Yes"),'Point Schedule'!$V$18,IF(AND($H19="Specialty",$K19="1st",I19="Yes"),'Point Schedule'!$V$15,0))</f>
        <v>0</v>
      </c>
      <c r="AG19" s="128">
        <f>IF(AND($H19="Nat'l Spec",$S19="BIS",$I19="Yes"),'Point Schedule'!$V$19,IF(AND($H19="Specialty",$S19="BIS",$I19="Yes"),'Point Schedule'!$V$16,0))</f>
        <v>0</v>
      </c>
      <c r="AH19" s="128">
        <f>IF(AND($H19="Nat'l Spec",$T19="BOSS",I19="Yes"),'Point Schedule'!$V$20,IF(AND($H19="Specialty",$T19="BOSS",$I19="Yes"),'Point Schedule'!$V$17,0))</f>
        <v>0</v>
      </c>
      <c r="AI19" s="115">
        <f t="shared" si="0"/>
        <v>0</v>
      </c>
      <c r="AJ19" s="115">
        <f>IF(AND($J19="Pro",'Tabulation Sheet'!$J$46=0),SUM($U19:$AH19),0)</f>
        <v>0</v>
      </c>
      <c r="AK19" s="116">
        <f>IF('Tabulation Sheet'!$AI10=0,SUM($AF19:$AH19),0)</f>
        <v>0</v>
      </c>
      <c r="AL19" s="761"/>
    </row>
    <row r="20" spans="1:38" ht="20.149999999999999" customHeight="1" x14ac:dyDescent="0.7">
      <c r="A20" s="387"/>
      <c r="B20" s="263"/>
      <c r="C20" s="716"/>
      <c r="D20" s="717"/>
      <c r="E20" s="718"/>
      <c r="F20" s="264"/>
      <c r="G20" s="264"/>
      <c r="H20" s="264"/>
      <c r="I20" s="264"/>
      <c r="J20" s="264"/>
      <c r="K20" s="264"/>
      <c r="L20" s="264"/>
      <c r="M20" s="264"/>
      <c r="N20" s="264"/>
      <c r="O20" s="264"/>
      <c r="P20" s="264"/>
      <c r="Q20" s="264"/>
      <c r="R20" s="264"/>
      <c r="S20" s="264"/>
      <c r="T20" s="264"/>
      <c r="U20" s="128">
        <f>IF(AND($G20="Major",$I20="No",$L20="WD"),'Point Schedule'!$P$12,IF(AND($G20="Minor",$I20="No",$L20="WD"),'Point Schedule'!$O$12,IF(AND(G20="Major",$I20="No",L20="WB"),'Point Schedule'!$P$12,IF(AND(G20="Minor",$I20="No",L20="WB"),'Point Schedule'!$O$12,0))))</f>
        <v>0</v>
      </c>
      <c r="V20" s="128">
        <f>IF(AND(G20="Major",$I20="No",M20="Reserve"),'Point Schedule'!$O$14,0)</f>
        <v>0</v>
      </c>
      <c r="W20" s="128">
        <f>IF(AND(G20="Major",$I20="No",N20="BOW"),'Point Schedule'!$P$13,IF(AND(G20="Minor",$I20="No",N20="BOW"),'Point Schedule'!$O$13,0))</f>
        <v>0</v>
      </c>
      <c r="X20" s="128">
        <f>IF(AND($G20="Major",$O20="BOB",$H20="Nat'l Spec"),'Point Schedule'!$O$17,IF(AND($G20="Minor",$O20="BOB",$H20="Nat'l Spec"),'Point Schedule'!$O$17,IF(AND($G20="Major",$O20="BOB",$H20="Specialty"),'Point Schedule'!$P$10,IF(AND($G20="Minor",$O20="BOB",$H20="Specialty"),'Point Schedule'!$O$10,IF(AND($G20="Minor",$O20="BOB",$H20="Spec"),'Point Schedule'!$O$10,IF(AND($G20="Major",$O20="BOB",$H20="Non-Spec"),'Point Schedule'!$P$10,IF(AND($G20="Minor",$O20="BOB",$H20="Non-Spec"),'Point Schedule'!$O$10,0)))))))</f>
        <v>0</v>
      </c>
      <c r="Y20" s="128">
        <f>IF(AND($G20="Major",$P20="BOS",$H20="Nat'l Spec"),'Point Schedule'!$O$18,IF(AND($G20="Minor",$P20="BOS",$H20="Nat'l Spec"),'Point Schedule'!$O$18,IF(AND($G20="Major",$P20="BOS",$H20="Specialty"),'Point Schedule'!$P$10,IF(AND($G20="Minor",$P20="BOS",$H20="Specialty"),'Point Schedule'!$O$10,IF(AND($G20="Minor",$P20="BOS",$H20="Spec"),'Point Schedule'!$O$10,IF(AND($G20="Major",$P20="BOS",$H20="Non-Spec"),'Point Schedule'!$P$10,IF(AND($G20="Minor",$P20="BOS",$H20="Non-Spec"),'Point Schedule'!$O$10,0)))))))</f>
        <v>0</v>
      </c>
      <c r="Z20" s="128">
        <f>IF(AND($G20="Major",$I20="No",$O20="SD"),'Point Schedule'!$P$20,IF(AND($G20="Minor",$I20="No",$O20="SD"),'Point Schedule'!$O$20,IF(AND($G20="Major",$I20="No",$O20="SB"),'Point Schedule'!$P$20,IF(AND($G20="Minor",$I20="No",$O20="SB"),'Point Schedule'!$O$20,0))))</f>
        <v>0</v>
      </c>
      <c r="AA20" s="128">
        <f>IF(AND($G20="Major",$I20="No",$H20="Specialty",$O20="JAM"),'Point Schedule'!$P$20,IF(AND($G20="Minor",$I20="No",$H20="Nat'l Spec",$O20="JAM"),'Point Schedule'!$O$20,IF(AND($G20="Minor",$I20="No",$H20="Non-Spec",$O20="JAM"),'Point Schedule'!$O$20,IF(AND($G20="Minor",$I20="No",$H20="Specialty",$O20="JAM"),'Point Schedule'!$O$20,IF(AND($G20="Major",$H20="Nat'l Spec",$I20="No",$O20="JAM"),'Point Schedule'!$O$21,IF(AND($G20="Major",$I20="No",$H20="Non-Spec",$O20="JAM"),'Point Schedule'!$P$20,0))))))</f>
        <v>0</v>
      </c>
      <c r="AB20" s="128">
        <f>IF(AND(Q20="1st",$O20="BOB",$H20="Non-Spec"), 'Point Schedule'!$O$5, IF(AND(Q20="2nd",$O20="BOB",$H20="Non-Spec"),'Point Schedule'!$O$6, IF(AND(Q20="3rd",$O20="BOB",$H20="Non-Spec"), 'Point Schedule'!$O$7, IF(AND(Q20="4th",$O20="BOB",$H20="Non-Spec"), 'Point Schedule'!$O$8,0))))</f>
        <v>0</v>
      </c>
      <c r="AC20" s="128">
        <f>IF(AND(R20="BIS",$Q20="1st"),'Point Schedule'!$O$4,0)</f>
        <v>0</v>
      </c>
      <c r="AD20" s="128">
        <f>IF(AND($H20="Nat'l Spec",$I20="No",$K20="1st",'Tabulation Sheet'!$AI11=0,$G20="Major"),'Point Schedule'!$W$26,IF(AND($H20="Nat'l Spec",$I20="No",'Tabulation Sheet'!$AI11=0,$K20="1st",$G20="Minor"),'Point Schedule'!$V$26,IF(AND($H20="Specialty",$I20="No",'Tabulation Sheet'!$AI11=0,$K20="1st",$G20="Major"),'Point Schedule'!$O$15,IF(AND($H20="Specialty",$I20="No",'Tabulation Sheet'!$AI11=0,$K20="1st",$G20="Minor"),'Point Schedule'!$O$15,0))))</f>
        <v>0</v>
      </c>
      <c r="AE20" s="129">
        <f>IF(AND(H20="Nat'l Spec",L20="WD"),'Point Schedule'!$O$19,IF(AND(H20="Nat'l Spec",L20="WB"),'Point Schedule'!$O$19,0))</f>
        <v>0</v>
      </c>
      <c r="AF20" s="128">
        <f>IF(AND($H20="Nat'l Spec",$K20="1st",I20="Yes"),'Point Schedule'!$V$18,IF(AND($H20="Specialty",$K20="1st",I20="Yes"),'Point Schedule'!$V$15,0))</f>
        <v>0</v>
      </c>
      <c r="AG20" s="128">
        <f>IF(AND($H20="Nat'l Spec",$S20="BIS",$I20="Yes"),'Point Schedule'!$V$19,IF(AND($H20="Specialty",$S20="BIS",$I20="Yes"),'Point Schedule'!$V$16,0))</f>
        <v>0</v>
      </c>
      <c r="AH20" s="128">
        <f>IF(AND($H20="Nat'l Spec",$T20="BOSS",I20="Yes"),'Point Schedule'!$V$20,IF(AND($H20="Specialty",$T20="BOSS",$I20="Yes"),'Point Schedule'!$V$17,0))</f>
        <v>0</v>
      </c>
      <c r="AI20" s="115">
        <f t="shared" si="0"/>
        <v>0</v>
      </c>
      <c r="AJ20" s="115">
        <f>IF(AND($J20="Pro",'Tabulation Sheet'!$K$46=0),SUM($U20:$AH20),0)</f>
        <v>0</v>
      </c>
      <c r="AK20" s="116">
        <f>IF('Tabulation Sheet'!$AI11=0,SUM($AF20:$AH20),0)</f>
        <v>0</v>
      </c>
      <c r="AL20" s="761"/>
    </row>
    <row r="21" spans="1:38" ht="20.149999999999999" customHeight="1" x14ac:dyDescent="0.7">
      <c r="A21" s="387"/>
      <c r="B21" s="263"/>
      <c r="C21" s="716"/>
      <c r="D21" s="717"/>
      <c r="E21" s="718"/>
      <c r="F21" s="264"/>
      <c r="G21" s="264"/>
      <c r="H21" s="264"/>
      <c r="I21" s="264"/>
      <c r="J21" s="264"/>
      <c r="K21" s="264"/>
      <c r="L21" s="264"/>
      <c r="M21" s="264"/>
      <c r="N21" s="264"/>
      <c r="O21" s="264"/>
      <c r="P21" s="264"/>
      <c r="Q21" s="264"/>
      <c r="R21" s="264"/>
      <c r="S21" s="264"/>
      <c r="T21" s="264"/>
      <c r="U21" s="128">
        <f>IF(AND($G21="Major",$I21="No",$L21="WD"),'Point Schedule'!$P$12,IF(AND($G21="Minor",$I21="No",$L21="WD"),'Point Schedule'!$O$12,IF(AND(G21="Major",$I21="No",L21="WB"),'Point Schedule'!$P$12,IF(AND(G21="Minor",$I21="No",L21="WB"),'Point Schedule'!$O$12,0))))</f>
        <v>0</v>
      </c>
      <c r="V21" s="128">
        <f>IF(AND(G21="Major",$I21="No",M21="Reserve"),'Point Schedule'!$O$14,0)</f>
        <v>0</v>
      </c>
      <c r="W21" s="128">
        <f>IF(AND(G21="Major",$I21="No",N21="BOW"),'Point Schedule'!$P$13,IF(AND(G21="Minor",$I21="No",N21="BOW"),'Point Schedule'!$O$13,0))</f>
        <v>0</v>
      </c>
      <c r="X21" s="128">
        <f>IF(AND($G21="Major",$O21="BOB",$H21="Nat'l Spec"),'Point Schedule'!$O$17,IF(AND($G21="Minor",$O21="BOB",$H21="Nat'l Spec"),'Point Schedule'!$O$17,IF(AND($G21="Major",$O21="BOB",$H21="Specialty"),'Point Schedule'!$P$10,IF(AND($G21="Minor",$O21="BOB",$H21="Specialty"),'Point Schedule'!$O$10,IF(AND($G21="Minor",$O21="BOB",$H21="Spec"),'Point Schedule'!$O$10,IF(AND($G21="Major",$O21="BOB",$H21="Non-Spec"),'Point Schedule'!$P$10,IF(AND($G21="Minor",$O21="BOB",$H21="Non-Spec"),'Point Schedule'!$O$10,0)))))))</f>
        <v>0</v>
      </c>
      <c r="Y21" s="128">
        <f>IF(AND($G21="Major",$P21="BOS",$H21="Nat'l Spec"),'Point Schedule'!$O$18,IF(AND($G21="Minor",$P21="BOS",$H21="Nat'l Spec"),'Point Schedule'!$O$18,IF(AND($G21="Major",$P21="BOS",$H21="Specialty"),'Point Schedule'!$P$10,IF(AND($G21="Minor",$P21="BOS",$H21="Specialty"),'Point Schedule'!$O$10,IF(AND($G21="Minor",$P21="BOS",$H21="Spec"),'Point Schedule'!$O$10,IF(AND($G21="Major",$P21="BOS",$H21="Non-Spec"),'Point Schedule'!$P$10,IF(AND($G21="Minor",$P21="BOS",$H21="Non-Spec"),'Point Schedule'!$O$10,0)))))))</f>
        <v>0</v>
      </c>
      <c r="Z21" s="128">
        <f>IF(AND($G21="Major",$I21="No",$O21="SD"),'Point Schedule'!$P$20,IF(AND($G21="Minor",$I21="No",$O21="SD"),'Point Schedule'!$O$20,IF(AND($G21="Major",$I21="No",$O21="SB"),'Point Schedule'!$P$20,IF(AND($G21="Minor",$I21="No",$O21="SB"),'Point Schedule'!$O$20,0))))</f>
        <v>0</v>
      </c>
      <c r="AA21" s="128">
        <f>IF(AND($G21="Major",$I21="No",$H21="Specialty",$O21="JAM"),'Point Schedule'!$P$20,IF(AND($G21="Minor",$I21="No",$H21="Nat'l Spec",$O21="JAM"),'Point Schedule'!$O$20,IF(AND($G21="Minor",$I21="No",$H21="Non-Spec",$O21="JAM"),'Point Schedule'!$O$20,IF(AND($G21="Minor",$I21="No",$H21="Specialty",$O21="JAM"),'Point Schedule'!$O$20,IF(AND($G21="Major",$H21="Nat'l Spec",$I21="No",$O21="JAM"),'Point Schedule'!$O$21,IF(AND($G21="Major",$I21="No",$H21="Non-Spec",$O21="JAM"),'Point Schedule'!$P$20,0))))))</f>
        <v>0</v>
      </c>
      <c r="AB21" s="128">
        <f>IF(AND(Q21="1st",$O21="BOB",$H21="Non-Spec"), 'Point Schedule'!$O$5, IF(AND(Q21="2nd",$O21="BOB",$H21="Non-Spec"),'Point Schedule'!$O$6, IF(AND(Q21="3rd",$O21="BOB",$H21="Non-Spec"), 'Point Schedule'!$O$7, IF(AND(Q21="4th",$O21="BOB",$H21="Non-Spec"), 'Point Schedule'!$O$8,0))))</f>
        <v>0</v>
      </c>
      <c r="AC21" s="128">
        <f>IF(AND(R21="BIS",$Q21="1st"),'Point Schedule'!$O$4,0)</f>
        <v>0</v>
      </c>
      <c r="AD21" s="128">
        <f>IF(AND($H21="Nat'l Spec",$I21="No",$K21="1st",'Tabulation Sheet'!$AI12=0,$G21="Major"),'Point Schedule'!$W$26,IF(AND($H21="Nat'l Spec",$I21="No",'Tabulation Sheet'!$AI12=0,$K21="1st",$G21="Minor"),'Point Schedule'!$V$26,IF(AND($H21="Specialty",$I21="No",'Tabulation Sheet'!$AI12=0,$K21="1st",$G21="Major"),'Point Schedule'!$O$15,IF(AND($H21="Specialty",$I21="No",'Tabulation Sheet'!$AI12=0,$K21="1st",$G21="Minor"),'Point Schedule'!$O$15,0))))</f>
        <v>0</v>
      </c>
      <c r="AE21" s="129">
        <f>IF(AND(H21="Nat'l Spec",L21="WD"),'Point Schedule'!$O$19,IF(AND(H21="Nat'l Spec",L21="WB"),'Point Schedule'!$O$19,0))</f>
        <v>0</v>
      </c>
      <c r="AF21" s="128">
        <f>IF(AND($H21="Nat'l Spec",$K21="1st",I21="Yes"),'Point Schedule'!$V$18,IF(AND($H21="Specialty",$K21="1st",I21="Yes"),'Point Schedule'!$V$15,0))</f>
        <v>0</v>
      </c>
      <c r="AG21" s="128">
        <f>IF(AND($H21="Nat'l Spec",$S21="BIS",$I21="Yes"),'Point Schedule'!$V$19,IF(AND($H21="Specialty",$S21="BIS",$I21="Yes"),'Point Schedule'!$V$16,0))</f>
        <v>0</v>
      </c>
      <c r="AH21" s="128">
        <f>IF(AND($H21="Nat'l Spec",$T21="BOSS",I21="Yes"),'Point Schedule'!$V$20,IF(AND($H21="Specialty",$T21="BOSS",$I21="Yes"),'Point Schedule'!$V$17,0))</f>
        <v>0</v>
      </c>
      <c r="AI21" s="115">
        <f t="shared" si="0"/>
        <v>0</v>
      </c>
      <c r="AJ21" s="115">
        <f>IF(AND($J21="Pro",'Tabulation Sheet'!$L$46=0),SUM($U21:$AH21),0)</f>
        <v>0</v>
      </c>
      <c r="AK21" s="116">
        <f>IF('Tabulation Sheet'!$AI12=0,SUM($AF21:$AH21),0)</f>
        <v>0</v>
      </c>
      <c r="AL21" s="761"/>
    </row>
    <row r="22" spans="1:38" ht="20.149999999999999" customHeight="1" x14ac:dyDescent="0.7">
      <c r="A22" s="387"/>
      <c r="B22" s="263"/>
      <c r="C22" s="716"/>
      <c r="D22" s="717"/>
      <c r="E22" s="718"/>
      <c r="F22" s="264"/>
      <c r="G22" s="264"/>
      <c r="H22" s="264"/>
      <c r="I22" s="264"/>
      <c r="J22" s="264"/>
      <c r="K22" s="264"/>
      <c r="L22" s="264"/>
      <c r="M22" s="264"/>
      <c r="N22" s="264"/>
      <c r="O22" s="264"/>
      <c r="P22" s="264"/>
      <c r="Q22" s="264"/>
      <c r="R22" s="264"/>
      <c r="S22" s="264"/>
      <c r="T22" s="264"/>
      <c r="U22" s="128">
        <f>IF(AND($G22="Major",$I22="No",$L22="WD"),'Point Schedule'!$P$12,IF(AND($G22="Minor",$I22="No",$L22="WD"),'Point Schedule'!$O$12,IF(AND(G22="Major",$I22="No",L22="WB"),'Point Schedule'!$P$12,IF(AND(G22="Minor",$I22="No",L22="WB"),'Point Schedule'!$O$12,0))))</f>
        <v>0</v>
      </c>
      <c r="V22" s="128">
        <f>IF(AND(G22="Major",$I22="No",M22="Reserve"),'Point Schedule'!$O$14,0)</f>
        <v>0</v>
      </c>
      <c r="W22" s="128">
        <f>IF(AND(G22="Major",$I22="No",N22="BOW"),'Point Schedule'!$P$13,IF(AND(G22="Minor",$I22="No",N22="BOW"),'Point Schedule'!$O$13,0))</f>
        <v>0</v>
      </c>
      <c r="X22" s="128">
        <f>IF(AND($G22="Major",$O22="BOB",$H22="Nat'l Spec"),'Point Schedule'!$O$17,IF(AND($G22="Minor",$O22="BOB",$H22="Nat'l Spec"),'Point Schedule'!$O$17,IF(AND($G22="Major",$O22="BOB",$H22="Specialty"),'Point Schedule'!$P$10,IF(AND($G22="Minor",$O22="BOB",$H22="Specialty"),'Point Schedule'!$O$10,IF(AND($G22="Minor",$O22="BOB",$H22="Spec"),'Point Schedule'!$O$10,IF(AND($G22="Major",$O22="BOB",$H22="Non-Spec"),'Point Schedule'!$P$10,IF(AND($G22="Minor",$O22="BOB",$H22="Non-Spec"),'Point Schedule'!$O$10,0)))))))</f>
        <v>0</v>
      </c>
      <c r="Y22" s="128">
        <f>IF(AND($G22="Major",$P22="BOS",$H22="Nat'l Spec"),'Point Schedule'!$O$18,IF(AND($G22="Minor",$P22="BOS",$H22="Nat'l Spec"),'Point Schedule'!$O$18,IF(AND($G22="Major",$P22="BOS",$H22="Specialty"),'Point Schedule'!$P$10,IF(AND($G22="Minor",$P22="BOS",$H22="Specialty"),'Point Schedule'!$O$10,IF(AND($G22="Minor",$P22="BOS",$H22="Spec"),'Point Schedule'!$O$10,IF(AND($G22="Major",$P22="BOS",$H22="Non-Spec"),'Point Schedule'!$P$10,IF(AND($G22="Minor",$P22="BOS",$H22="Non-Spec"),'Point Schedule'!$O$10,0)))))))</f>
        <v>0</v>
      </c>
      <c r="Z22" s="128">
        <f>IF(AND($G22="Major",$I22="No",$O22="SD"),'Point Schedule'!$P$20,IF(AND($G22="Minor",$I22="No",$O22="SD"),'Point Schedule'!$O$20,IF(AND($G22="Major",$I22="No",$O22="SB"),'Point Schedule'!$P$20,IF(AND($G22="Minor",$I22="No",$O22="SB"),'Point Schedule'!$O$20,0))))</f>
        <v>0</v>
      </c>
      <c r="AA22" s="128">
        <f>IF(AND($G22="Major",$I22="No",$H22="Specialty",$O22="JAM"),'Point Schedule'!$P$20,IF(AND($G22="Minor",$I22="No",$H22="Nat'l Spec",$O22="JAM"),'Point Schedule'!$O$20,IF(AND($G22="Minor",$I22="No",$H22="Non-Spec",$O22="JAM"),'Point Schedule'!$O$20,IF(AND($G22="Minor",$I22="No",$H22="Specialty",$O22="JAM"),'Point Schedule'!$O$20,IF(AND($G22="Major",$H22="Nat'l Spec",$I22="No",$O22="JAM"),'Point Schedule'!$O$21,IF(AND($G22="Major",$I22="No",$H22="Non-Spec",$O22="JAM"),'Point Schedule'!$P$20,0))))))</f>
        <v>0</v>
      </c>
      <c r="AB22" s="128">
        <f>IF(AND(Q22="1st",$O22="BOB",$H22="Non-Spec"), 'Point Schedule'!$O$5, IF(AND(Q22="2nd",$O22="BOB",$H22="Non-Spec"),'Point Schedule'!$O$6, IF(AND(Q22="3rd",$O22="BOB",$H22="Non-Spec"), 'Point Schedule'!$O$7, IF(AND(Q22="4th",$O22="BOB",$H22="Non-Spec"), 'Point Schedule'!$O$8,0))))</f>
        <v>0</v>
      </c>
      <c r="AC22" s="128">
        <f>IF(AND(R22="BIS",$Q22="1st"),'Point Schedule'!$O$4,0)</f>
        <v>0</v>
      </c>
      <c r="AD22" s="128">
        <f>IF(AND($H22="Nat'l Spec",$I22="No",$K22="1st",'Tabulation Sheet'!$AI13=0,$G22="Major"),'Point Schedule'!$W$26,IF(AND($H22="Nat'l Spec",$I22="No",'Tabulation Sheet'!$AI13=0,$K22="1st",$G22="Minor"),'Point Schedule'!$V$26,IF(AND($H22="Specialty",$I22="No",'Tabulation Sheet'!$AI13=0,$K22="1st",$G22="Major"),'Point Schedule'!$O$15,IF(AND($H22="Specialty",$I22="No",'Tabulation Sheet'!$AI13=0,$K22="1st",$G22="Minor"),'Point Schedule'!$O$15,0))))</f>
        <v>0</v>
      </c>
      <c r="AE22" s="129">
        <f>IF(AND(H22="Nat'l Spec",L22="WD"),'Point Schedule'!$O$19,IF(AND(H22="Nat'l Spec",L22="WB"),'Point Schedule'!$O$19,0))</f>
        <v>0</v>
      </c>
      <c r="AF22" s="128">
        <f>IF(AND($H22="Nat'l Spec",$K22="1st",I22="Yes"),'Point Schedule'!$V$18,IF(AND($H22="Specialty",$K22="1st",I22="Yes"),'Point Schedule'!$V$15,0))</f>
        <v>0</v>
      </c>
      <c r="AG22" s="128">
        <f>IF(AND($H22="Nat'l Spec",$S22="BIS",$I22="Yes"),'Point Schedule'!$V$19,IF(AND($H22="Specialty",$S22="BIS",$I22="Yes"),'Point Schedule'!$V$16,0))</f>
        <v>0</v>
      </c>
      <c r="AH22" s="128">
        <f>IF(AND($H22="Nat'l Spec",$T22="BOSS",I22="Yes"),'Point Schedule'!$V$20,IF(AND($H22="Specialty",$T22="BOSS",$I22="Yes"),'Point Schedule'!$V$17,0))</f>
        <v>0</v>
      </c>
      <c r="AI22" s="115">
        <f t="shared" si="0"/>
        <v>0</v>
      </c>
      <c r="AJ22" s="115">
        <f>IF(AND($J22="Pro",'Tabulation Sheet'!$M$46=0),SUM($U22:$AH22),0)</f>
        <v>0</v>
      </c>
      <c r="AK22" s="116">
        <f>IF('Tabulation Sheet'!$AI13=0,SUM($AF22:$AH22),0)</f>
        <v>0</v>
      </c>
      <c r="AL22" s="761"/>
    </row>
    <row r="23" spans="1:38" ht="20.149999999999999" customHeight="1" x14ac:dyDescent="0.7">
      <c r="A23" s="387"/>
      <c r="B23" s="265"/>
      <c r="C23" s="716"/>
      <c r="D23" s="717"/>
      <c r="E23" s="718"/>
      <c r="F23" s="264"/>
      <c r="G23" s="264"/>
      <c r="H23" s="264"/>
      <c r="I23" s="264"/>
      <c r="J23" s="264"/>
      <c r="K23" s="264"/>
      <c r="L23" s="264"/>
      <c r="M23" s="264"/>
      <c r="N23" s="264"/>
      <c r="O23" s="264"/>
      <c r="P23" s="264"/>
      <c r="Q23" s="264"/>
      <c r="R23" s="264"/>
      <c r="S23" s="264"/>
      <c r="T23" s="264"/>
      <c r="U23" s="128">
        <f>IF(AND($G23="Major",$I23="No",$L23="WD"),'Point Schedule'!$P$12,IF(AND($G23="Minor",$I23="No",$L23="WD"),'Point Schedule'!$O$12,IF(AND(G23="Major",$I23="No",L23="WB"),'Point Schedule'!$P$12,IF(AND(G23="Minor",$I23="No",L23="WB"),'Point Schedule'!$O$12,0))))</f>
        <v>0</v>
      </c>
      <c r="V23" s="128">
        <f>IF(AND(G23="Major",$I23="No",M23="Reserve"),'Point Schedule'!$O$14,0)</f>
        <v>0</v>
      </c>
      <c r="W23" s="128">
        <f>IF(AND(G23="Major",$I23="No",N23="BOW"),'Point Schedule'!$P$13,IF(AND(G23="Minor",$I23="No",N23="BOW"),'Point Schedule'!$O$13,0))</f>
        <v>0</v>
      </c>
      <c r="X23" s="128">
        <f>IF(AND($G23="Major",$O23="BOB",$H23="Nat'l Spec"),'Point Schedule'!$O$17,IF(AND($G23="Minor",$O23="BOB",$H23="Nat'l Spec"),'Point Schedule'!$O$17,IF(AND($G23="Major",$O23="BOB",$H23="Specialty"),'Point Schedule'!$P$10,IF(AND($G23="Minor",$O23="BOB",$H23="Specialty"),'Point Schedule'!$O$10,IF(AND($G23="Minor",$O23="BOB",$H23="Spec"),'Point Schedule'!$O$10,IF(AND($G23="Major",$O23="BOB",$H23="Non-Spec"),'Point Schedule'!$P$10,IF(AND($G23="Minor",$O23="BOB",$H23="Non-Spec"),'Point Schedule'!$O$10,0)))))))</f>
        <v>0</v>
      </c>
      <c r="Y23" s="128">
        <f>IF(AND($G23="Major",$P23="BOS",$H23="Nat'l Spec"),'Point Schedule'!$O$18,IF(AND($G23="Minor",$P23="BOS",$H23="Nat'l Spec"),'Point Schedule'!$O$18,IF(AND($G23="Major",$P23="BOS",$H23="Specialty"),'Point Schedule'!$P$10,IF(AND($G23="Minor",$P23="BOS",$H23="Specialty"),'Point Schedule'!$O$10,IF(AND($G23="Minor",$P23="BOS",$H23="Spec"),'Point Schedule'!$O$10,IF(AND($G23="Major",$P23="BOS",$H23="Non-Spec"),'Point Schedule'!$P$10,IF(AND($G23="Minor",$P23="BOS",$H23="Non-Spec"),'Point Schedule'!$O$10,0)))))))</f>
        <v>0</v>
      </c>
      <c r="Z23" s="128">
        <f>IF(AND($G23="Major",$I23="No",$O23="SD"),'Point Schedule'!$P$20,IF(AND($G23="Minor",$I23="No",$O23="SD"),'Point Schedule'!$O$20,IF(AND($G23="Major",$I23="No",$O23="SB"),'Point Schedule'!$P$20,IF(AND($G23="Minor",$I23="No",$O23="SB"),'Point Schedule'!$O$20,0))))</f>
        <v>0</v>
      </c>
      <c r="AA23" s="128">
        <f>IF(AND($G23="Major",$I23="No",$H23="Specialty",$O23="JAM"),'Point Schedule'!$P$20,IF(AND($G23="Minor",$I23="No",$H23="Nat'l Spec",$O23="JAM"),'Point Schedule'!$O$20,IF(AND($G23="Minor",$I23="No",$H23="Non-Spec",$O23="JAM"),'Point Schedule'!$O$20,IF(AND($G23="Minor",$I23="No",$H23="Specialty",$O23="JAM"),'Point Schedule'!$O$20,IF(AND($G23="Major",$H23="Nat'l Spec",$I23="No",$O23="JAM"),'Point Schedule'!$O$21,IF(AND($G23="Major",$I23="No",$H23="Non-Spec",$O23="JAM"),'Point Schedule'!$P$20,0))))))</f>
        <v>0</v>
      </c>
      <c r="AB23" s="128">
        <f>IF(AND(Q23="1st",$O23="BOB",$H23="Non-Spec"), 'Point Schedule'!$O$5, IF(AND(Q23="2nd",$O23="BOB",$H23="Non-Spec"),'Point Schedule'!$O$6, IF(AND(Q23="3rd",$O23="BOB",$H23="Non-Spec"), 'Point Schedule'!$O$7, IF(AND(Q23="4th",$O23="BOB",$H23="Non-Spec"), 'Point Schedule'!$O$8,0))))</f>
        <v>0</v>
      </c>
      <c r="AC23" s="128">
        <f>IF(AND(R23="BIS",$Q23="1st"),'Point Schedule'!$O$4,0)</f>
        <v>0</v>
      </c>
      <c r="AD23" s="128">
        <f>IF(AND($H23="Nat'l Spec",$I23="No",$K23="1st",'Tabulation Sheet'!$AI14=0,$G23="Major"),'Point Schedule'!$W$26,IF(AND($H23="Nat'l Spec",$I23="No",'Tabulation Sheet'!$AI14=0,$K23="1st",$G23="Minor"),'Point Schedule'!$V$26,IF(AND($H23="Specialty",$I23="No",'Tabulation Sheet'!$AI14=0,$K23="1st",$G23="Major"),'Point Schedule'!$O$15,IF(AND($H23="Specialty",$I23="No",'Tabulation Sheet'!$AI14=0,$K23="1st",$G23="Minor"),'Point Schedule'!$O$15,0))))</f>
        <v>0</v>
      </c>
      <c r="AE23" s="129">
        <f>IF(AND(H23="Nat'l Spec",L23="WD"),'Point Schedule'!$O$19,IF(AND(H23="Nat'l Spec",L23="WB"),'Point Schedule'!$O$19,0))</f>
        <v>0</v>
      </c>
      <c r="AF23" s="128">
        <f>IF(AND($H23="Nat'l Spec",$K23="1st",I23="Yes"),'Point Schedule'!$V$18,IF(AND($H23="Specialty",$K23="1st",I23="Yes"),'Point Schedule'!$V$15,0))</f>
        <v>0</v>
      </c>
      <c r="AG23" s="128">
        <f>IF(AND($H23="Nat'l Spec",$S23="BIS",$I23="Yes"),'Point Schedule'!$V$19,IF(AND($H23="Specialty",$S23="BIS",$I23="Yes"),'Point Schedule'!$V$16,0))</f>
        <v>0</v>
      </c>
      <c r="AH23" s="128">
        <f>IF(AND($H23="Nat'l Spec",$T23="BOSS",I23="Yes"),'Point Schedule'!$V$20,IF(AND($H23="Specialty",$T23="BOSS",$I23="Yes"),'Point Schedule'!$V$17,0))</f>
        <v>0</v>
      </c>
      <c r="AI23" s="115">
        <f t="shared" si="0"/>
        <v>0</v>
      </c>
      <c r="AJ23" s="115">
        <f>IF(AND($J23="Pro",'Tabulation Sheet'!$N$46=0),SUM($U23:$AH23),0)</f>
        <v>0</v>
      </c>
      <c r="AK23" s="116">
        <f>IF('Tabulation Sheet'!$AI14=0,SUM($AF23:$AH23),0)</f>
        <v>0</v>
      </c>
      <c r="AL23" s="761"/>
    </row>
    <row r="24" spans="1:38" ht="20.149999999999999" customHeight="1" x14ac:dyDescent="0.7">
      <c r="A24" s="387"/>
      <c r="B24" s="265"/>
      <c r="C24" s="716"/>
      <c r="D24" s="717"/>
      <c r="E24" s="718"/>
      <c r="F24" s="264"/>
      <c r="G24" s="264"/>
      <c r="H24" s="264"/>
      <c r="I24" s="264"/>
      <c r="J24" s="264"/>
      <c r="K24" s="264"/>
      <c r="L24" s="264"/>
      <c r="M24" s="264"/>
      <c r="N24" s="264"/>
      <c r="O24" s="264"/>
      <c r="P24" s="264"/>
      <c r="Q24" s="264"/>
      <c r="R24" s="264"/>
      <c r="S24" s="264"/>
      <c r="T24" s="264"/>
      <c r="U24" s="128">
        <f>IF(AND($G24="Major",$I24="No",$L24="WD"),'Point Schedule'!$P$12,IF(AND($G24="Minor",$I24="No",$L24="WD"),'Point Schedule'!$O$12,IF(AND(G24="Major",$I24="No",L24="WB"),'Point Schedule'!$P$12,IF(AND(G24="Minor",$I24="No",L24="WB"),'Point Schedule'!$O$12,0))))</f>
        <v>0</v>
      </c>
      <c r="V24" s="128">
        <f>IF(AND(G24="Major",$I24="No",M24="Reserve"),'Point Schedule'!$O$14,0)</f>
        <v>0</v>
      </c>
      <c r="W24" s="128">
        <f>IF(AND(G24="Major",$I24="No",N24="BOW"),'Point Schedule'!$P$13,IF(AND(G24="Minor",$I24="No",N24="BOW"),'Point Schedule'!$O$13,0))</f>
        <v>0</v>
      </c>
      <c r="X24" s="128">
        <f>IF(AND($G24="Major",$O24="BOB",$H24="Nat'l Spec"),'Point Schedule'!$O$17,IF(AND($G24="Minor",$O24="BOB",$H24="Nat'l Spec"),'Point Schedule'!$O$17,IF(AND($G24="Major",$O24="BOB",$H24="Specialty"),'Point Schedule'!$P$10,IF(AND($G24="Minor",$O24="BOB",$H24="Specialty"),'Point Schedule'!$O$10,IF(AND($G24="Minor",$O24="BOB",$H24="Spec"),'Point Schedule'!$O$10,IF(AND($G24="Major",$O24="BOB",$H24="Non-Spec"),'Point Schedule'!$P$10,IF(AND($G24="Minor",$O24="BOB",$H24="Non-Spec"),'Point Schedule'!$O$10,0)))))))</f>
        <v>0</v>
      </c>
      <c r="Y24" s="128">
        <f>IF(AND($G24="Major",$P24="BOS",$H24="Nat'l Spec"),'Point Schedule'!$O$18,IF(AND($G24="Minor",$P24="BOS",$H24="Nat'l Spec"),'Point Schedule'!$O$18,IF(AND($G24="Major",$P24="BOS",$H24="Specialty"),'Point Schedule'!$P$10,IF(AND($G24="Minor",$P24="BOS",$H24="Specialty"),'Point Schedule'!$O$10,IF(AND($G24="Minor",$P24="BOS",$H24="Spec"),'Point Schedule'!$O$10,IF(AND($G24="Major",$P24="BOS",$H24="Non-Spec"),'Point Schedule'!$P$10,IF(AND($G24="Minor",$P24="BOS",$H24="Non-Spec"),'Point Schedule'!$O$10,0)))))))</f>
        <v>0</v>
      </c>
      <c r="Z24" s="128">
        <f>IF(AND($G24="Major",$I24="No",$O24="SD"),'Point Schedule'!$P$20,IF(AND($G24="Minor",$I24="No",$O24="SD"),'Point Schedule'!$O$20,IF(AND($G24="Major",$I24="No",$O24="SB"),'Point Schedule'!$P$20,IF(AND($G24="Minor",$I24="No",$O24="SB"),'Point Schedule'!$O$20,0))))</f>
        <v>0</v>
      </c>
      <c r="AA24" s="128">
        <f>IF(AND($G24="Major",$I24="No",$H24="Specialty",$O24="JAM"),'Point Schedule'!$P$20,IF(AND($G24="Minor",$I24="No",$H24="Nat'l Spec",$O24="JAM"),'Point Schedule'!$O$20,IF(AND($G24="Minor",$I24="No",$H24="Non-Spec",$O24="JAM"),'Point Schedule'!$O$20,IF(AND($G24="Minor",$I24="No",$H24="Specialty",$O24="JAM"),'Point Schedule'!$O$20,IF(AND($G24="Major",$H24="Nat'l Spec",$I24="No",$O24="JAM"),'Point Schedule'!$O$21,IF(AND($G24="Major",$I24="No",$H24="Non-Spec",$O24="JAM"),'Point Schedule'!$P$20,0))))))</f>
        <v>0</v>
      </c>
      <c r="AB24" s="128">
        <f>IF(AND(Q24="1st",$O24="BOB",$H24="Non-Spec"), 'Point Schedule'!$O$5, IF(AND(Q24="2nd",$O24="BOB",$H24="Non-Spec"),'Point Schedule'!$O$6, IF(AND(Q24="3rd",$O24="BOB",$H24="Non-Spec"), 'Point Schedule'!$O$7, IF(AND(Q24="4th",$O24="BOB",$H24="Non-Spec"), 'Point Schedule'!$O$8,0))))</f>
        <v>0</v>
      </c>
      <c r="AC24" s="128">
        <f>IF(AND(R24="BIS",$Q24="1st"),'Point Schedule'!$O$4,0)</f>
        <v>0</v>
      </c>
      <c r="AD24" s="128">
        <f>IF(AND($H24="Nat'l Spec",$I24="No",$K24="1st",'Tabulation Sheet'!$AI15=0,$G24="Major"),'Point Schedule'!$W$26,IF(AND($H24="Nat'l Spec",$I24="No",'Tabulation Sheet'!$AI15=0,$K24="1st",$G24="Minor"),'Point Schedule'!$V$26,IF(AND($H24="Specialty",$I24="No",'Tabulation Sheet'!$AI15=0,$K24="1st",$G24="Major"),'Point Schedule'!$O$15,IF(AND($H24="Specialty",$I24="No",'Tabulation Sheet'!$AI15=0,$K24="1st",$G24="Minor"),'Point Schedule'!$O$15,0))))</f>
        <v>0</v>
      </c>
      <c r="AE24" s="129">
        <f>IF(AND(H24="Nat'l Spec",L24="WD"),'Point Schedule'!$O$19,IF(AND(H24="Nat'l Spec",L24="WB"),'Point Schedule'!$O$19,0))</f>
        <v>0</v>
      </c>
      <c r="AF24" s="128">
        <f>IF(AND($H24="Nat'l Spec",$K24="1st",I24="Yes"),'Point Schedule'!$V$18,IF(AND($H24="Specialty",$K24="1st",I24="Yes"),'Point Schedule'!$V$15,0))</f>
        <v>0</v>
      </c>
      <c r="AG24" s="128">
        <f>IF(AND($H24="Nat'l Spec",$S24="BIS",$I24="Yes"),'Point Schedule'!$V$19,IF(AND($H24="Specialty",$S24="BIS",$I24="Yes"),'Point Schedule'!$V$16,0))</f>
        <v>0</v>
      </c>
      <c r="AH24" s="128">
        <f>IF(AND($H24="Nat'l Spec",$T24="BOSS",I24="Yes"),'Point Schedule'!$V$20,IF(AND($H24="Specialty",$T24="BOSS",$I24="Yes"),'Point Schedule'!$V$17,0))</f>
        <v>0</v>
      </c>
      <c r="AI24" s="115">
        <f t="shared" si="0"/>
        <v>0</v>
      </c>
      <c r="AJ24" s="115">
        <f>IF(AND($J24="Pro",'Tabulation Sheet'!$O$46=0),SUM($U24:$AH24),0)</f>
        <v>0</v>
      </c>
      <c r="AK24" s="116">
        <f>IF('Tabulation Sheet'!$AI15=0,SUM($AF24:$AH24),0)</f>
        <v>0</v>
      </c>
      <c r="AL24" s="761"/>
    </row>
    <row r="25" spans="1:38" ht="20.149999999999999" customHeight="1" x14ac:dyDescent="0.7">
      <c r="A25" s="387"/>
      <c r="B25" s="265"/>
      <c r="C25" s="716"/>
      <c r="D25" s="717"/>
      <c r="E25" s="718"/>
      <c r="F25" s="264"/>
      <c r="G25" s="264"/>
      <c r="H25" s="264"/>
      <c r="I25" s="264"/>
      <c r="J25" s="264"/>
      <c r="K25" s="264"/>
      <c r="L25" s="264"/>
      <c r="M25" s="264"/>
      <c r="N25" s="264"/>
      <c r="O25" s="264"/>
      <c r="P25" s="264"/>
      <c r="Q25" s="264"/>
      <c r="R25" s="264"/>
      <c r="S25" s="264"/>
      <c r="T25" s="264"/>
      <c r="U25" s="128">
        <f>IF(AND($G25="Major",$I25="No",$L25="WD"),'Point Schedule'!$P$12,IF(AND($G25="Minor",$I25="No",$L25="WD"),'Point Schedule'!$O$12,IF(AND(G25="Major",$I25="No",L25="WB"),'Point Schedule'!$P$12,IF(AND(G25="Minor",$I25="No",L25="WB"),'Point Schedule'!$O$12,0))))</f>
        <v>0</v>
      </c>
      <c r="V25" s="128">
        <f>IF(AND(G25="Major",$I25="No",M25="Reserve"),'Point Schedule'!$O$14,0)</f>
        <v>0</v>
      </c>
      <c r="W25" s="128">
        <f>IF(AND(G25="Major",$I25="No",N25="BOW"),'Point Schedule'!$P$13,IF(AND(G25="Minor",$I25="No",N25="BOW"),'Point Schedule'!$O$13,0))</f>
        <v>0</v>
      </c>
      <c r="X25" s="128">
        <f>IF(AND($G25="Major",$O25="BOB",$H25="Nat'l Spec"),'Point Schedule'!$O$17,IF(AND($G25="Minor",$O25="BOB",$H25="Nat'l Spec"),'Point Schedule'!$O$17,IF(AND($G25="Major",$O25="BOB",$H25="Specialty"),'Point Schedule'!$P$10,IF(AND($G25="Minor",$O25="BOB",$H25="Specialty"),'Point Schedule'!$O$10,IF(AND($G25="Minor",$O25="BOB",$H25="Spec"),'Point Schedule'!$O$10,IF(AND($G25="Major",$O25="BOB",$H25="Non-Spec"),'Point Schedule'!$P$10,IF(AND($G25="Minor",$O25="BOB",$H25="Non-Spec"),'Point Schedule'!$O$10,0)))))))</f>
        <v>0</v>
      </c>
      <c r="Y25" s="128">
        <f>IF(AND($G25="Major",$P25="BOS",$H25="Nat'l Spec"),'Point Schedule'!$O$18,IF(AND($G25="Minor",$P25="BOS",$H25="Nat'l Spec"),'Point Schedule'!$O$18,IF(AND($G25="Major",$P25="BOS",$H25="Specialty"),'Point Schedule'!$P$10,IF(AND($G25="Minor",$P25="BOS",$H25="Specialty"),'Point Schedule'!$O$10,IF(AND($G25="Minor",$P25="BOS",$H25="Spec"),'Point Schedule'!$O$10,IF(AND($G25="Major",$P25="BOS",$H25="Non-Spec"),'Point Schedule'!$P$10,IF(AND($G25="Minor",$P25="BOS",$H25="Non-Spec"),'Point Schedule'!$O$10,0)))))))</f>
        <v>0</v>
      </c>
      <c r="Z25" s="128">
        <f>IF(AND($G25="Major",$I25="No",$O25="SD"),'Point Schedule'!$P$20,IF(AND($G25="Minor",$I25="No",$O25="SD"),'Point Schedule'!$O$20,IF(AND($G25="Major",$I25="No",$O25="SB"),'Point Schedule'!$P$20,IF(AND($G25="Minor",$I25="No",$O25="SB"),'Point Schedule'!$O$20,0))))</f>
        <v>0</v>
      </c>
      <c r="AA25" s="128">
        <f>IF(AND($G25="Major",$I25="No",$H25="Specialty",$O25="JAM"),'Point Schedule'!$P$20,IF(AND($G25="Minor",$I25="No",$H25="Nat'l Spec",$O25="JAM"),'Point Schedule'!$O$20,IF(AND($G25="Minor",$I25="No",$H25="Non-Spec",$O25="JAM"),'Point Schedule'!$O$20,IF(AND($G25="Minor",$I25="No",$H25="Specialty",$O25="JAM"),'Point Schedule'!$O$20,IF(AND($G25="Major",$H25="Nat'l Spec",$I25="No",$O25="JAM"),'Point Schedule'!$O$21,IF(AND($G25="Major",$I25="No",$H25="Non-Spec",$O25="JAM"),'Point Schedule'!$P$20,0))))))</f>
        <v>0</v>
      </c>
      <c r="AB25" s="128">
        <f>IF(AND(Q25="1st",$O25="BOB",$H25="Non-Spec"), 'Point Schedule'!$O$5, IF(AND(Q25="2nd",$O25="BOB",$H25="Non-Spec"),'Point Schedule'!$O$6, IF(AND(Q25="3rd",$O25="BOB",$H25="Non-Spec"), 'Point Schedule'!$O$7, IF(AND(Q25="4th",$O25="BOB",$H25="Non-Spec"), 'Point Schedule'!$O$8,0))))</f>
        <v>0</v>
      </c>
      <c r="AC25" s="128">
        <f>IF(AND(R25="BIS",$Q25="1st"),'Point Schedule'!$O$4,0)</f>
        <v>0</v>
      </c>
      <c r="AD25" s="128">
        <f>IF(AND($H25="Nat'l Spec",$I25="No",$K25="1st",'Tabulation Sheet'!$AI16=0,$G25="Major"),'Point Schedule'!$W$26,IF(AND($H25="Nat'l Spec",$I25="No",'Tabulation Sheet'!$AI16=0,$K25="1st",$G25="Minor"),'Point Schedule'!$V$26,IF(AND($H25="Specialty",$I25="No",'Tabulation Sheet'!$AI16=0,$K25="1st",$G25="Major"),'Point Schedule'!$O$15,IF(AND($H25="Specialty",$I25="No",'Tabulation Sheet'!$AI16=0,$K25="1st",$G25="Minor"),'Point Schedule'!$O$15,0))))</f>
        <v>0</v>
      </c>
      <c r="AE25" s="129">
        <f>IF(AND(H25="Nat'l Spec",L25="WD"),'Point Schedule'!$O$19,IF(AND(H25="Nat'l Spec",L25="WB"),'Point Schedule'!$O$19,0))</f>
        <v>0</v>
      </c>
      <c r="AF25" s="128">
        <f>IF(AND($H25="Nat'l Spec",$K25="1st",I25="Yes"),'Point Schedule'!$V$18,IF(AND($H25="Specialty",$K25="1st",I25="Yes"),'Point Schedule'!$V$15,0))</f>
        <v>0</v>
      </c>
      <c r="AG25" s="128">
        <f>IF(AND($H25="Nat'l Spec",$S25="BIS",$I25="Yes"),'Point Schedule'!$V$19,IF(AND($H25="Specialty",$S25="BIS",$I25="Yes"),'Point Schedule'!$V$16,0))</f>
        <v>0</v>
      </c>
      <c r="AH25" s="128">
        <f>IF(AND($H25="Nat'l Spec",$T25="BOSS",I25="Yes"),'Point Schedule'!$V$20,IF(AND($H25="Specialty",$T25="BOSS",$I25="Yes"),'Point Schedule'!$V$17,0))</f>
        <v>0</v>
      </c>
      <c r="AI25" s="115">
        <f t="shared" si="0"/>
        <v>0</v>
      </c>
      <c r="AJ25" s="115">
        <f>IF(AND($J25="Pro",'Tabulation Sheet'!$P$46=0),SUM($U25:$AH25),0)</f>
        <v>0</v>
      </c>
      <c r="AK25" s="116">
        <f>IF('Tabulation Sheet'!$AI16=0,SUM($AF25:$AH25),0)</f>
        <v>0</v>
      </c>
      <c r="AL25" s="761"/>
    </row>
    <row r="26" spans="1:38" ht="20.149999999999999" customHeight="1" x14ac:dyDescent="0.7">
      <c r="A26" s="387"/>
      <c r="B26" s="265"/>
      <c r="C26" s="716"/>
      <c r="D26" s="717"/>
      <c r="E26" s="718"/>
      <c r="F26" s="264"/>
      <c r="G26" s="264"/>
      <c r="H26" s="264"/>
      <c r="I26" s="264"/>
      <c r="J26" s="264"/>
      <c r="K26" s="264"/>
      <c r="L26" s="264"/>
      <c r="M26" s="264"/>
      <c r="N26" s="264"/>
      <c r="O26" s="264"/>
      <c r="P26" s="264"/>
      <c r="Q26" s="264"/>
      <c r="R26" s="264"/>
      <c r="S26" s="264"/>
      <c r="T26" s="264"/>
      <c r="U26" s="128">
        <f>IF(AND($G26="Major",$I26="No",$L26="WD"),'Point Schedule'!$P$12,IF(AND($G26="Minor",$I26="No",$L26="WD"),'Point Schedule'!$O$12,IF(AND(G26="Major",$I26="No",L26="WB"),'Point Schedule'!$P$12,IF(AND(G26="Minor",$I26="No",L26="WB"),'Point Schedule'!$O$12,0))))</f>
        <v>0</v>
      </c>
      <c r="V26" s="128">
        <f>IF(AND(G26="Major",$I26="No",M26="Reserve"),'Point Schedule'!$O$14,0)</f>
        <v>0</v>
      </c>
      <c r="W26" s="128">
        <f>IF(AND(G26="Major",$I26="No",N26="BOW"),'Point Schedule'!$P$13,IF(AND(G26="Minor",$I26="No",N26="BOW"),'Point Schedule'!$O$13,0))</f>
        <v>0</v>
      </c>
      <c r="X26" s="128">
        <f>IF(AND($G26="Major",$O26="BOB",$H26="Nat'l Spec"),'Point Schedule'!$O$17,IF(AND($G26="Minor",$O26="BOB",$H26="Nat'l Spec"),'Point Schedule'!$O$17,IF(AND($G26="Major",$O26="BOB",$H26="Specialty"),'Point Schedule'!$P$10,IF(AND($G26="Minor",$O26="BOB",$H26="Specialty"),'Point Schedule'!$O$10,IF(AND($G26="Minor",$O26="BOB",$H26="Spec"),'Point Schedule'!$O$10,IF(AND($G26="Major",$O26="BOB",$H26="Non-Spec"),'Point Schedule'!$P$10,IF(AND($G26="Minor",$O26="BOB",$H26="Non-Spec"),'Point Schedule'!$O$10,0)))))))</f>
        <v>0</v>
      </c>
      <c r="Y26" s="128">
        <f>IF(AND($G26="Major",$P26="BOS",$H26="Nat'l Spec"),'Point Schedule'!$O$18,IF(AND($G26="Minor",$P26="BOS",$H26="Nat'l Spec"),'Point Schedule'!$O$18,IF(AND($G26="Major",$P26="BOS",$H26="Specialty"),'Point Schedule'!$P$10,IF(AND($G26="Minor",$P26="BOS",$H26="Specialty"),'Point Schedule'!$O$10,IF(AND($G26="Minor",$P26="BOS",$H26="Spec"),'Point Schedule'!$O$10,IF(AND($G26="Major",$P26="BOS",$H26="Non-Spec"),'Point Schedule'!$P$10,IF(AND($G26="Minor",$P26="BOS",$H26="Non-Spec"),'Point Schedule'!$O$10,0)))))))</f>
        <v>0</v>
      </c>
      <c r="Z26" s="128">
        <f>IF(AND($G26="Major",$I26="No",$O26="SD"),'Point Schedule'!$P$20,IF(AND($G26="Minor",$I26="No",$O26="SD"),'Point Schedule'!$O$20,IF(AND($G26="Major",$I26="No",$O26="SB"),'Point Schedule'!$P$20,IF(AND($G26="Minor",$I26="No",$O26="SB"),'Point Schedule'!$O$20,0))))</f>
        <v>0</v>
      </c>
      <c r="AA26" s="128">
        <f>IF(AND($G26="Major",$I26="No",$H26="Specialty",$O26="JAM"),'Point Schedule'!$P$20,IF(AND($G26="Minor",$I26="No",$H26="Nat'l Spec",$O26="JAM"),'Point Schedule'!$O$20,IF(AND($G26="Minor",$I26="No",$H26="Non-Spec",$O26="JAM"),'Point Schedule'!$O$20,IF(AND($G26="Minor",$I26="No",$H26="Specialty",$O26="JAM"),'Point Schedule'!$O$20,IF(AND($G26="Major",$H26="Nat'l Spec",$I26="No",$O26="JAM"),'Point Schedule'!$O$21,IF(AND($G26="Major",$I26="No",$H26="Non-Spec",$O26="JAM"),'Point Schedule'!$P$20,0))))))</f>
        <v>0</v>
      </c>
      <c r="AB26" s="128">
        <f>IF(AND(Q26="1st",$O26="BOB",$H26="Non-Spec"), 'Point Schedule'!$O$5, IF(AND(Q26="2nd",$O26="BOB",$H26="Non-Spec"),'Point Schedule'!$O$6, IF(AND(Q26="3rd",$O26="BOB",$H26="Non-Spec"), 'Point Schedule'!$O$7, IF(AND(Q26="4th",$O26="BOB",$H26="Non-Spec"), 'Point Schedule'!$O$8,0))))</f>
        <v>0</v>
      </c>
      <c r="AC26" s="128">
        <f>IF(AND(R26="BIS",$Q26="1st"),'Point Schedule'!$O$4,0)</f>
        <v>0</v>
      </c>
      <c r="AD26" s="128">
        <f>IF(AND($H26="Nat'l Spec",$I26="No",$K26="1st",'Tabulation Sheet'!$AI17=0,$G26="Major"),'Point Schedule'!$W$26,IF(AND($H26="Nat'l Spec",$I26="No",'Tabulation Sheet'!$AI17=0,$K26="1st",$G26="Minor"),'Point Schedule'!$V$26,IF(AND($H26="Specialty",$I26="No",'Tabulation Sheet'!$AI17=0,$K26="1st",$G26="Major"),'Point Schedule'!$O$15,IF(AND($H26="Specialty",$I26="No",'Tabulation Sheet'!$AI17=0,$K26="1st",$G26="Minor"),'Point Schedule'!$O$15,0))))</f>
        <v>0</v>
      </c>
      <c r="AE26" s="129">
        <f>IF(AND(H26="Nat'l Spec",L26="WD"),'Point Schedule'!$O$19,IF(AND(H26="Nat'l Spec",L26="WB"),'Point Schedule'!$O$19,0))</f>
        <v>0</v>
      </c>
      <c r="AF26" s="128">
        <f>IF(AND($H26="Nat'l Spec",$K26="1st",I26="Yes"),'Point Schedule'!$V$18,IF(AND($H26="Specialty",$K26="1st",I26="Yes"),'Point Schedule'!$V$15,0))</f>
        <v>0</v>
      </c>
      <c r="AG26" s="128">
        <f>IF(AND($H26="Nat'l Spec",$S26="BIS",$I26="Yes"),'Point Schedule'!$V$19,IF(AND($H26="Specialty",$S26="BIS",$I26="Yes"),'Point Schedule'!$V$16,0))</f>
        <v>0</v>
      </c>
      <c r="AH26" s="128">
        <f>IF(AND($H26="Nat'l Spec",$T26="BOSS",I26="Yes"),'Point Schedule'!$V$20,IF(AND($H26="Specialty",$T26="BOSS",$I26="Yes"),'Point Schedule'!$V$17,0))</f>
        <v>0</v>
      </c>
      <c r="AI26" s="115">
        <f t="shared" si="0"/>
        <v>0</v>
      </c>
      <c r="AJ26" s="115">
        <f>IF(AND($J26="Pro",'Tabulation Sheet'!$Q$46=0),SUM($U26:$AH26),0)</f>
        <v>0</v>
      </c>
      <c r="AK26" s="116">
        <f>IF('Tabulation Sheet'!$AI17=0,SUM($AF26:$AH26),0)</f>
        <v>0</v>
      </c>
      <c r="AL26" s="761"/>
    </row>
    <row r="27" spans="1:38" ht="20.149999999999999" customHeight="1" x14ac:dyDescent="0.7">
      <c r="A27" s="387"/>
      <c r="B27" s="265"/>
      <c r="C27" s="716"/>
      <c r="D27" s="717"/>
      <c r="E27" s="718"/>
      <c r="F27" s="264"/>
      <c r="G27" s="264"/>
      <c r="H27" s="264"/>
      <c r="I27" s="264"/>
      <c r="J27" s="264"/>
      <c r="K27" s="264"/>
      <c r="L27" s="264"/>
      <c r="M27" s="264"/>
      <c r="N27" s="264"/>
      <c r="O27" s="264"/>
      <c r="P27" s="264"/>
      <c r="Q27" s="264"/>
      <c r="R27" s="264"/>
      <c r="S27" s="264"/>
      <c r="T27" s="264"/>
      <c r="U27" s="128">
        <f>IF(AND($G27="Major",$I27="No",$L27="WD"),'Point Schedule'!$P$12,IF(AND($G27="Minor",$I27="No",$L27="WD"),'Point Schedule'!$O$12,IF(AND(G27="Major",$I27="No",L27="WB"),'Point Schedule'!$P$12,IF(AND(G27="Minor",$I27="No",L27="WB"),'Point Schedule'!$O$12,0))))</f>
        <v>0</v>
      </c>
      <c r="V27" s="128">
        <f>IF(AND(G27="Major",$I27="No",M27="Reserve"),'Point Schedule'!$O$14,0)</f>
        <v>0</v>
      </c>
      <c r="W27" s="128">
        <f>IF(AND(G27="Major",$I27="No",N27="BOW"),'Point Schedule'!$P$13,IF(AND(G27="Minor",$I27="No",N27="BOW"),'Point Schedule'!$O$13,0))</f>
        <v>0</v>
      </c>
      <c r="X27" s="128">
        <f>IF(AND($G27="Major",$O27="BOB",$H27="Nat'l Spec"),'Point Schedule'!$O$17,IF(AND($G27="Minor",$O27="BOB",$H27="Nat'l Spec"),'Point Schedule'!$O$17,IF(AND($G27="Major",$O27="BOB",$H27="Specialty"),'Point Schedule'!$P$10,IF(AND($G27="Minor",$O27="BOB",$H27="Specialty"),'Point Schedule'!$O$10,IF(AND($G27="Minor",$O27="BOB",$H27="Spec"),'Point Schedule'!$O$10,IF(AND($G27="Major",$O27="BOB",$H27="Non-Spec"),'Point Schedule'!$P$10,IF(AND($G27="Minor",$O27="BOB",$H27="Non-Spec"),'Point Schedule'!$O$10,0)))))))</f>
        <v>0</v>
      </c>
      <c r="Y27" s="128">
        <f>IF(AND($G27="Major",$P27="BOS",$H27="Nat'l Spec"),'Point Schedule'!$O$18,IF(AND($G27="Minor",$P27="BOS",$H27="Nat'l Spec"),'Point Schedule'!$O$18,IF(AND($G27="Major",$P27="BOS",$H27="Specialty"),'Point Schedule'!$P$10,IF(AND($G27="Minor",$P27="BOS",$H27="Specialty"),'Point Schedule'!$O$10,IF(AND($G27="Minor",$P27="BOS",$H27="Spec"),'Point Schedule'!$O$10,IF(AND($G27="Major",$P27="BOS",$H27="Non-Spec"),'Point Schedule'!$P$10,IF(AND($G27="Minor",$P27="BOS",$H27="Non-Spec"),'Point Schedule'!$O$10,0)))))))</f>
        <v>0</v>
      </c>
      <c r="Z27" s="128">
        <f>IF(AND($G27="Major",$I27="No",$O27="SD"),'Point Schedule'!$P$20,IF(AND($G27="Minor",$I27="No",$O27="SD"),'Point Schedule'!$O$20,IF(AND($G27="Major",$I27="No",$O27="SB"),'Point Schedule'!$P$20,IF(AND($G27="Minor",$I27="No",$O27="SB"),'Point Schedule'!$O$20,0))))</f>
        <v>0</v>
      </c>
      <c r="AA27" s="128">
        <f>IF(AND($G27="Major",$I27="No",$H27="Specialty",$O27="JAM"),'Point Schedule'!$P$20,IF(AND($G27="Minor",$I27="No",$H27="Nat'l Spec",$O27="JAM"),'Point Schedule'!$O$20,IF(AND($G27="Minor",$I27="No",$H27="Non-Spec",$O27="JAM"),'Point Schedule'!$O$20,IF(AND($G27="Minor",$I27="No",$H27="Specialty",$O27="JAM"),'Point Schedule'!$O$20,IF(AND($G27="Major",$H27="Nat'l Spec",$I27="No",$O27="JAM"),'Point Schedule'!$O$21,IF(AND($G27="Major",$I27="No",$H27="Non-Spec",$O27="JAM"),'Point Schedule'!$P$20,0))))))</f>
        <v>0</v>
      </c>
      <c r="AB27" s="128">
        <f>IF(AND(Q27="1st",$O27="BOB",$H27="Non-Spec"), 'Point Schedule'!$O$5, IF(AND(Q27="2nd",$O27="BOB",$H27="Non-Spec"),'Point Schedule'!$O$6, IF(AND(Q27="3rd",$O27="BOB",$H27="Non-Spec"), 'Point Schedule'!$O$7, IF(AND(Q27="4th",$O27="BOB",$H27="Non-Spec"), 'Point Schedule'!$O$8,0))))</f>
        <v>0</v>
      </c>
      <c r="AC27" s="128">
        <f>IF(AND(R27="BIS",$Q27="1st"),'Point Schedule'!$O$4,0)</f>
        <v>0</v>
      </c>
      <c r="AD27" s="128">
        <f>IF(AND($H27="Nat'l Spec",$I27="No",$K27="1st",'Tabulation Sheet'!$AI18=0,$G27="Major"),'Point Schedule'!$W$26,IF(AND($H27="Nat'l Spec",$I27="No",'Tabulation Sheet'!$AI18=0,$K27="1st",$G27="Minor"),'Point Schedule'!$V$26,IF(AND($H27="Specialty",$I27="No",'Tabulation Sheet'!$AI18=0,$K27="1st",$G27="Major"),'Point Schedule'!$O$15,IF(AND($H27="Specialty",$I27="No",'Tabulation Sheet'!$AI18=0,$K27="1st",$G27="Minor"),'Point Schedule'!$O$15,0))))</f>
        <v>0</v>
      </c>
      <c r="AE27" s="129">
        <f>IF(AND(H27="Nat'l Spec",L27="WD"),'Point Schedule'!$O$19,IF(AND(H27="Nat'l Spec",L27="WB"),'Point Schedule'!$O$19,0))</f>
        <v>0</v>
      </c>
      <c r="AF27" s="128">
        <f>IF(AND($H27="Nat'l Spec",$K27="1st",I27="Yes"),'Point Schedule'!$V$18,IF(AND($H27="Specialty",$K27="1st",I27="Yes"),'Point Schedule'!$V$15,0))</f>
        <v>0</v>
      </c>
      <c r="AG27" s="128">
        <f>IF(AND($H27="Nat'l Spec",$S27="BIS",$I27="Yes"),'Point Schedule'!$V$19,IF(AND($H27="Specialty",$S27="BIS",$I27="Yes"),'Point Schedule'!$V$16,0))</f>
        <v>0</v>
      </c>
      <c r="AH27" s="128">
        <f>IF(AND($H27="Nat'l Spec",$T27="BOSS",I27="Yes"),'Point Schedule'!$V$20,IF(AND($H27="Specialty",$T27="BOSS",$I27="Yes"),'Point Schedule'!$V$17,0))</f>
        <v>0</v>
      </c>
      <c r="AI27" s="115">
        <f t="shared" si="0"/>
        <v>0</v>
      </c>
      <c r="AJ27" s="115">
        <f>IF(AND($J27="Pro",'Tabulation Sheet'!$R$46=0),SUM($U27:$AH27),0)</f>
        <v>0</v>
      </c>
      <c r="AK27" s="116">
        <f>IF('Tabulation Sheet'!$AI18=0,SUM($AF27:$AH27),0)</f>
        <v>0</v>
      </c>
      <c r="AL27" s="761"/>
    </row>
    <row r="28" spans="1:38" ht="20.149999999999999" customHeight="1" x14ac:dyDescent="0.7">
      <c r="A28" s="387"/>
      <c r="B28" s="265"/>
      <c r="C28" s="716"/>
      <c r="D28" s="717"/>
      <c r="E28" s="718"/>
      <c r="F28" s="264"/>
      <c r="G28" s="264"/>
      <c r="H28" s="264"/>
      <c r="I28" s="264"/>
      <c r="J28" s="264"/>
      <c r="K28" s="264"/>
      <c r="L28" s="264"/>
      <c r="M28" s="264"/>
      <c r="N28" s="264"/>
      <c r="O28" s="264"/>
      <c r="P28" s="264"/>
      <c r="Q28" s="264"/>
      <c r="R28" s="264"/>
      <c r="S28" s="264"/>
      <c r="T28" s="264"/>
      <c r="U28" s="128">
        <f>IF(AND($G28="Major",$I28="No",$L28="WD"),'Point Schedule'!$P$12,IF(AND($G28="Minor",$I28="No",$L28="WD"),'Point Schedule'!$O$12,IF(AND(G28="Major",$I28="No",L28="WB"),'Point Schedule'!$P$12,IF(AND(G28="Minor",$I28="No",L28="WB"),'Point Schedule'!$O$12,0))))</f>
        <v>0</v>
      </c>
      <c r="V28" s="128">
        <f>IF(AND(G28="Major",$I28="No",M28="Reserve"),'Point Schedule'!$O$14,0)</f>
        <v>0</v>
      </c>
      <c r="W28" s="128">
        <f>IF(AND(G28="Major",$I28="No",N28="BOW"),'Point Schedule'!$P$13,IF(AND(G28="Minor",$I28="No",N28="BOW"),'Point Schedule'!$O$13,0))</f>
        <v>0</v>
      </c>
      <c r="X28" s="128">
        <f>IF(AND($G28="Major",$O28="BOB",$H28="Nat'l Spec"),'Point Schedule'!$O$17,IF(AND($G28="Minor",$O28="BOB",$H28="Nat'l Spec"),'Point Schedule'!$O$17,IF(AND($G28="Major",$O28="BOB",$H28="Specialty"),'Point Schedule'!$P$10,IF(AND($G28="Minor",$O28="BOB",$H28="Specialty"),'Point Schedule'!$O$10,IF(AND($G28="Minor",$O28="BOB",$H28="Spec"),'Point Schedule'!$O$10,IF(AND($G28="Major",$O28="BOB",$H28="Non-Spec"),'Point Schedule'!$P$10,IF(AND($G28="Minor",$O28="BOB",$H28="Non-Spec"),'Point Schedule'!$O$10,0)))))))</f>
        <v>0</v>
      </c>
      <c r="Y28" s="128">
        <f>IF(AND($G28="Major",$P28="BOS",$H28="Nat'l Spec"),'Point Schedule'!$O$18,IF(AND($G28="Minor",$P28="BOS",$H28="Nat'l Spec"),'Point Schedule'!$O$18,IF(AND($G28="Major",$P28="BOS",$H28="Specialty"),'Point Schedule'!$P$10,IF(AND($G28="Minor",$P28="BOS",$H28="Specialty"),'Point Schedule'!$O$10,IF(AND($G28="Minor",$P28="BOS",$H28="Spec"),'Point Schedule'!$O$10,IF(AND($G28="Major",$P28="BOS",$H28="Non-Spec"),'Point Schedule'!$P$10,IF(AND($G28="Minor",$P28="BOS",$H28="Non-Spec"),'Point Schedule'!$O$10,0)))))))</f>
        <v>0</v>
      </c>
      <c r="Z28" s="128">
        <f>IF(AND($G28="Major",$I28="No",$O28="SD"),'Point Schedule'!$P$20,IF(AND($G28="Minor",$I28="No",$O28="SD"),'Point Schedule'!$O$20,IF(AND($G28="Major",$I28="No",$O28="SB"),'Point Schedule'!$P$20,IF(AND($G28="Minor",$I28="No",$O28="SB"),'Point Schedule'!$O$20,0))))</f>
        <v>0</v>
      </c>
      <c r="AA28" s="128">
        <f>IF(AND($G28="Major",$I28="No",$H28="Specialty",$O28="JAM"),'Point Schedule'!$P$20,IF(AND($G28="Minor",$I28="No",$H28="Nat'l Spec",$O28="JAM"),'Point Schedule'!$O$20,IF(AND($G28="Minor",$I28="No",$H28="Non-Spec",$O28="JAM"),'Point Schedule'!$O$20,IF(AND($G28="Minor",$I28="No",$H28="Specialty",$O28="JAM"),'Point Schedule'!$O$20,IF(AND($G28="Major",$H28="Nat'l Spec",$I28="No",$O28="JAM"),'Point Schedule'!$O$21,IF(AND($G28="Major",$I28="No",$H28="Non-Spec",$O28="JAM"),'Point Schedule'!$P$20,0))))))</f>
        <v>0</v>
      </c>
      <c r="AB28" s="128">
        <f>IF(AND(Q28="1st",$O28="BOB",$H28="Non-Spec"), 'Point Schedule'!$O$5, IF(AND(Q28="2nd",$O28="BOB",$H28="Non-Spec"),'Point Schedule'!$O$6, IF(AND(Q28="3rd",$O28="BOB",$H28="Non-Spec"), 'Point Schedule'!$O$7, IF(AND(Q28="4th",$O28="BOB",$H28="Non-Spec"), 'Point Schedule'!$O$8,0))))</f>
        <v>0</v>
      </c>
      <c r="AC28" s="128">
        <f>IF(AND(R28="BIS",$Q28="1st"),'Point Schedule'!$O$4,0)</f>
        <v>0</v>
      </c>
      <c r="AD28" s="128">
        <f>IF(AND($H28="Nat'l Spec",$I28="No",$K28="1st",'Tabulation Sheet'!$AI19=0,$G28="Major"),'Point Schedule'!$W$26,IF(AND($H28="Nat'l Spec",$I28="No",'Tabulation Sheet'!$AI19=0,$K28="1st",$G28="Minor"),'Point Schedule'!$V$26,IF(AND($H28="Specialty",$I28="No",'Tabulation Sheet'!$AI19=0,$K28="1st",$G28="Major"),'Point Schedule'!$O$15,IF(AND($H28="Specialty",$I28="No",'Tabulation Sheet'!$AI19=0,$K28="1st",$G28="Minor"),'Point Schedule'!$O$15,0))))</f>
        <v>0</v>
      </c>
      <c r="AE28" s="129">
        <f>IF(AND(H28="Nat'l Spec",L28="WD"),'Point Schedule'!$O$19,IF(AND(H28="Nat'l Spec",L28="WB"),'Point Schedule'!$O$19,0))</f>
        <v>0</v>
      </c>
      <c r="AF28" s="128">
        <f>IF(AND($H28="Nat'l Spec",$K28="1st",I28="Yes"),'Point Schedule'!$V$18,IF(AND($H28="Specialty",$K28="1st",I28="Yes"),'Point Schedule'!$V$15,0))</f>
        <v>0</v>
      </c>
      <c r="AG28" s="128">
        <f>IF(AND($H28="Nat'l Spec",$S28="BIS",$I28="Yes"),'Point Schedule'!$V$19,IF(AND($H28="Specialty",$S28="BIS",$I28="Yes"),'Point Schedule'!$V$16,0))</f>
        <v>0</v>
      </c>
      <c r="AH28" s="128">
        <f>IF(AND($H28="Nat'l Spec",$T28="BOSS",I28="Yes"),'Point Schedule'!$V$20,IF(AND($H28="Specialty",$T28="BOSS",$I28="Yes"),'Point Schedule'!$V$17,0))</f>
        <v>0</v>
      </c>
      <c r="AI28" s="115">
        <f t="shared" si="0"/>
        <v>0</v>
      </c>
      <c r="AJ28" s="115">
        <f>IF(AND($J28="Pro",'Tabulation Sheet'!$S$46=0),SUM($U28:$AH28),0)</f>
        <v>0</v>
      </c>
      <c r="AK28" s="116">
        <f>IF('Tabulation Sheet'!$AI19=0,SUM($AF28:$AH28),0)</f>
        <v>0</v>
      </c>
      <c r="AL28" s="761"/>
    </row>
    <row r="29" spans="1:38" ht="20.149999999999999" customHeight="1" x14ac:dyDescent="0.7">
      <c r="A29" s="387"/>
      <c r="B29" s="265"/>
      <c r="C29" s="716"/>
      <c r="D29" s="717"/>
      <c r="E29" s="718"/>
      <c r="F29" s="264"/>
      <c r="G29" s="264"/>
      <c r="H29" s="264"/>
      <c r="I29" s="264"/>
      <c r="J29" s="264"/>
      <c r="K29" s="264"/>
      <c r="L29" s="264"/>
      <c r="M29" s="264"/>
      <c r="N29" s="264"/>
      <c r="O29" s="264"/>
      <c r="P29" s="264"/>
      <c r="Q29" s="264"/>
      <c r="R29" s="264"/>
      <c r="S29" s="264"/>
      <c r="T29" s="264"/>
      <c r="U29" s="128">
        <f>IF(AND($G29="Major",$I29="No",$L29="WD"),'Point Schedule'!$P$12,IF(AND($G29="Minor",$I29="No",$L29="WD"),'Point Schedule'!$O$12,IF(AND(G29="Major",$I29="No",L29="WB"),'Point Schedule'!$P$12,IF(AND(G29="Minor",$I29="No",L29="WB"),'Point Schedule'!$O$12,0))))</f>
        <v>0</v>
      </c>
      <c r="V29" s="128">
        <f>IF(AND(G29="Major",$I29="No",M29="Reserve"),'Point Schedule'!$O$14,0)</f>
        <v>0</v>
      </c>
      <c r="W29" s="128">
        <f>IF(AND(G29="Major",$I29="No",N29="BOW"),'Point Schedule'!$P$13,IF(AND(G29="Minor",$I29="No",N29="BOW"),'Point Schedule'!$O$13,0))</f>
        <v>0</v>
      </c>
      <c r="X29" s="128">
        <f>IF(AND($G29="Major",$O29="BOB",$H29="Nat'l Spec"),'Point Schedule'!$O$17,IF(AND($G29="Minor",$O29="BOB",$H29="Nat'l Spec"),'Point Schedule'!$O$17,IF(AND($G29="Major",$O29="BOB",$H29="Specialty"),'Point Schedule'!$P$10,IF(AND($G29="Minor",$O29="BOB",$H29="Specialty"),'Point Schedule'!$O$10,IF(AND($G29="Minor",$O29="BOB",$H29="Spec"),'Point Schedule'!$O$10,IF(AND($G29="Major",$O29="BOB",$H29="Non-Spec"),'Point Schedule'!$P$10,IF(AND($G29="Minor",$O29="BOB",$H29="Non-Spec"),'Point Schedule'!$O$10,0)))))))</f>
        <v>0</v>
      </c>
      <c r="Y29" s="128">
        <f>IF(AND($G29="Major",$P29="BOS",$H29="Nat'l Spec"),'Point Schedule'!$O$18,IF(AND($G29="Minor",$P29="BOS",$H29="Nat'l Spec"),'Point Schedule'!$O$18,IF(AND($G29="Major",$P29="BOS",$H29="Specialty"),'Point Schedule'!$P$10,IF(AND($G29="Minor",$P29="BOS",$H29="Specialty"),'Point Schedule'!$O$10,IF(AND($G29="Minor",$P29="BOS",$H29="Spec"),'Point Schedule'!$O$10,IF(AND($G29="Major",$P29="BOS",$H29="Non-Spec"),'Point Schedule'!$P$10,IF(AND($G29="Minor",$P29="BOS",$H29="Non-Spec"),'Point Schedule'!$O$10,0)))))))</f>
        <v>0</v>
      </c>
      <c r="Z29" s="128">
        <f>IF(AND($G29="Major",$I29="No",$O29="SD"),'Point Schedule'!$P$20,IF(AND($G29="Minor",$I29="No",$O29="SD"),'Point Schedule'!$O$20,IF(AND($G29="Major",$I29="No",$O29="SB"),'Point Schedule'!$P$20,IF(AND($G29="Minor",$I29="No",$O29="SB"),'Point Schedule'!$O$20,0))))</f>
        <v>0</v>
      </c>
      <c r="AA29" s="128">
        <f>IF(AND($G29="Major",$I29="No",$H29="Specialty",$O29="JAM"),'Point Schedule'!$P$20,IF(AND($G29="Minor",$I29="No",$H29="Nat'l Spec",$O29="JAM"),'Point Schedule'!$O$20,IF(AND($G29="Minor",$I29="No",$H29="Non-Spec",$O29="JAM"),'Point Schedule'!$O$20,IF(AND($G29="Minor",$I29="No",$H29="Specialty",$O29="JAM"),'Point Schedule'!$O$20,IF(AND($G29="Major",$H29="Nat'l Spec",$I29="No",$O29="JAM"),'Point Schedule'!$O$21,IF(AND($G29="Major",$I29="No",$H29="Non-Spec",$O29="JAM"),'Point Schedule'!$P$20,0))))))</f>
        <v>0</v>
      </c>
      <c r="AB29" s="128">
        <f>IF(AND(Q29="1st",$O29="BOB",$H29="Non-Spec"), 'Point Schedule'!$O$5, IF(AND(Q29="2nd",$O29="BOB",$H29="Non-Spec"),'Point Schedule'!$O$6, IF(AND(Q29="3rd",$O29="BOB",$H29="Non-Spec"), 'Point Schedule'!$O$7, IF(AND(Q29="4th",$O29="BOB",$H29="Non-Spec"), 'Point Schedule'!$O$8,0))))</f>
        <v>0</v>
      </c>
      <c r="AC29" s="128">
        <f>IF(AND(R29="BIS",$Q29="1st"),'Point Schedule'!$O$4,0)</f>
        <v>0</v>
      </c>
      <c r="AD29" s="128">
        <f>IF(AND($H29="Nat'l Spec",$I29="No",$K29="1st",'Tabulation Sheet'!$AI20=0,$G29="Major"),'Point Schedule'!$W$26,IF(AND($H29="Nat'l Spec",$I29="No",'Tabulation Sheet'!$AI20=0,$K29="1st",$G29="Minor"),'Point Schedule'!$V$26,IF(AND($H29="Specialty",$I29="No",'Tabulation Sheet'!$AI20=0,$K29="1st",$G29="Major"),'Point Schedule'!$O$15,IF(AND($H29="Specialty",$I29="No",'Tabulation Sheet'!$AI20=0,$K29="1st",$G29="Minor"),'Point Schedule'!$O$15,0))))</f>
        <v>0</v>
      </c>
      <c r="AE29" s="129">
        <f>IF(AND(H29="Nat'l Spec",L29="WD"),'Point Schedule'!$O$19,IF(AND(H29="Nat'l Spec",L29="WB"),'Point Schedule'!$O$19,0))</f>
        <v>0</v>
      </c>
      <c r="AF29" s="128">
        <f>IF(AND($H29="Nat'l Spec",$K29="1st",I29="Yes"),'Point Schedule'!$V$18,IF(AND($H29="Specialty",$K29="1st",I29="Yes"),'Point Schedule'!$V$15,0))</f>
        <v>0</v>
      </c>
      <c r="AG29" s="128">
        <f>IF(AND($H29="Nat'l Spec",$S29="BIS",$I29="Yes"),'Point Schedule'!$V$19,IF(AND($H29="Specialty",$S29="BIS",$I29="Yes"),'Point Schedule'!$V$16,0))</f>
        <v>0</v>
      </c>
      <c r="AH29" s="128">
        <f>IF(AND($H29="Nat'l Spec",$T29="BOSS",I29="Yes"),'Point Schedule'!$V$20,IF(AND($H29="Specialty",$T29="BOSS",$I29="Yes"),'Point Schedule'!$V$17,0))</f>
        <v>0</v>
      </c>
      <c r="AI29" s="115">
        <f t="shared" si="0"/>
        <v>0</v>
      </c>
      <c r="AJ29" s="115">
        <f>IF(AND($J29="Pro",'Tabulation Sheet'!$T$46=0),SUM($U29:$AH29),0)</f>
        <v>0</v>
      </c>
      <c r="AK29" s="116">
        <f>IF('Tabulation Sheet'!$AI20=0,SUM($AF29:$AH29),0)</f>
        <v>0</v>
      </c>
      <c r="AL29" s="761"/>
    </row>
    <row r="30" spans="1:38" ht="20.149999999999999" customHeight="1" x14ac:dyDescent="0.7">
      <c r="A30" s="387"/>
      <c r="B30" s="265"/>
      <c r="C30" s="716"/>
      <c r="D30" s="717"/>
      <c r="E30" s="718"/>
      <c r="F30" s="264"/>
      <c r="G30" s="264"/>
      <c r="H30" s="264"/>
      <c r="I30" s="264"/>
      <c r="J30" s="264"/>
      <c r="K30" s="264"/>
      <c r="L30" s="264"/>
      <c r="M30" s="264"/>
      <c r="N30" s="264"/>
      <c r="O30" s="264"/>
      <c r="P30" s="264"/>
      <c r="Q30" s="264"/>
      <c r="R30" s="264"/>
      <c r="S30" s="264"/>
      <c r="T30" s="264"/>
      <c r="U30" s="128">
        <f>IF(AND($G30="Major",$I30="No",$L30="WD"),'Point Schedule'!$P$12,IF(AND($G30="Minor",$I30="No",$L30="WD"),'Point Schedule'!$O$12,IF(AND(G30="Major",$I30="No",L30="WB"),'Point Schedule'!$P$12,IF(AND(G30="Minor",$I30="No",L30="WB"),'Point Schedule'!$O$12,0))))</f>
        <v>0</v>
      </c>
      <c r="V30" s="128">
        <f>IF(AND(G30="Major",$I30="No",M30="Reserve"),'Point Schedule'!$O$14,0)</f>
        <v>0</v>
      </c>
      <c r="W30" s="128">
        <f>IF(AND(G30="Major",$I30="No",N30="BOW"),'Point Schedule'!$P$13,IF(AND(G30="Minor",$I30="No",N30="BOW"),'Point Schedule'!$O$13,0))</f>
        <v>0</v>
      </c>
      <c r="X30" s="128">
        <f>IF(AND($G30="Major",$O30="BOB",$H30="Nat'l Spec"),'Point Schedule'!$O$17,IF(AND($G30="Minor",$O30="BOB",$H30="Nat'l Spec"),'Point Schedule'!$O$17,IF(AND($G30="Major",$O30="BOB",$H30="Specialty"),'Point Schedule'!$P$10,IF(AND($G30="Minor",$O30="BOB",$H30="Specialty"),'Point Schedule'!$O$10,IF(AND($G30="Minor",$O30="BOB",$H30="Spec"),'Point Schedule'!$O$10,IF(AND($G30="Major",$O30="BOB",$H30="Non-Spec"),'Point Schedule'!$P$10,IF(AND($G30="Minor",$O30="BOB",$H30="Non-Spec"),'Point Schedule'!$O$10,0)))))))</f>
        <v>0</v>
      </c>
      <c r="Y30" s="128">
        <f>IF(AND($G30="Major",$P30="BOS",$H30="Nat'l Spec"),'Point Schedule'!$O$18,IF(AND($G30="Minor",$P30="BOS",$H30="Nat'l Spec"),'Point Schedule'!$O$18,IF(AND($G30="Major",$P30="BOS",$H30="Specialty"),'Point Schedule'!$P$10,IF(AND($G30="Minor",$P30="BOS",$H30="Specialty"),'Point Schedule'!$O$10,IF(AND($G30="Minor",$P30="BOS",$H30="Spec"),'Point Schedule'!$O$10,IF(AND($G30="Major",$P30="BOS",$H30="Non-Spec"),'Point Schedule'!$P$10,IF(AND($G30="Minor",$P30="BOS",$H30="Non-Spec"),'Point Schedule'!$O$10,0)))))))</f>
        <v>0</v>
      </c>
      <c r="Z30" s="128">
        <f>IF(AND($G30="Major",$I30="No",$O30="SD"),'Point Schedule'!$P$20,IF(AND($G30="Minor",$I30="No",$O30="SD"),'Point Schedule'!$O$20,IF(AND($G30="Major",$I30="No",$O30="SB"),'Point Schedule'!$P$20,IF(AND($G30="Minor",$I30="No",$O30="SB"),'Point Schedule'!$O$20,0))))</f>
        <v>0</v>
      </c>
      <c r="AA30" s="128">
        <f>IF(AND($G30="Major",$I30="No",$H30="Specialty",$O30="JAM"),'Point Schedule'!$P$20,IF(AND($G30="Minor",$I30="No",$H30="Nat'l Spec",$O30="JAM"),'Point Schedule'!$O$20,IF(AND($G30="Minor",$I30="No",$H30="Non-Spec",$O30="JAM"),'Point Schedule'!$O$20,IF(AND($G30="Minor",$I30="No",$H30="Specialty",$O30="JAM"),'Point Schedule'!$O$20,IF(AND($G30="Major",$H30="Nat'l Spec",$I30="No",$O30="JAM"),'Point Schedule'!$O$21,IF(AND($G30="Major",$I30="No",$H30="Non-Spec",$O30="JAM"),'Point Schedule'!$P$20,0))))))</f>
        <v>0</v>
      </c>
      <c r="AB30" s="128">
        <f>IF(AND(Q30="1st",$O30="BOB",$H30="Non-Spec"), 'Point Schedule'!$O$5, IF(AND(Q30="2nd",$O30="BOB",$H30="Non-Spec"),'Point Schedule'!$O$6, IF(AND(Q30="3rd",$O30="BOB",$H30="Non-Spec"), 'Point Schedule'!$O$7, IF(AND(Q30="4th",$O30="BOB",$H30="Non-Spec"), 'Point Schedule'!$O$8,0))))</f>
        <v>0</v>
      </c>
      <c r="AC30" s="128">
        <f>IF(AND(R30="BIS",$Q30="1st"),'Point Schedule'!$O$4,0)</f>
        <v>0</v>
      </c>
      <c r="AD30" s="128">
        <f>IF(AND($H30="Nat'l Spec",$I30="No",$K30="1st",'Tabulation Sheet'!$AI21=0,$G30="Major"),'Point Schedule'!$W$26,IF(AND($H30="Nat'l Spec",$I30="No",'Tabulation Sheet'!$AI21=0,$K30="1st",$G30="Minor"),'Point Schedule'!$V$26,IF(AND($H30="Specialty",$I30="No",'Tabulation Sheet'!$AI21=0,$K30="1st",$G30="Major"),'Point Schedule'!$O$15,IF(AND($H30="Specialty",$I30="No",'Tabulation Sheet'!$AI21=0,$K30="1st",$G30="Minor"),'Point Schedule'!$O$15,0))))</f>
        <v>0</v>
      </c>
      <c r="AE30" s="129">
        <f>IF(AND(H30="Nat'l Spec",L30="WD"),'Point Schedule'!$O$19,IF(AND(H30="Nat'l Spec",L30="WB"),'Point Schedule'!$O$19,0))</f>
        <v>0</v>
      </c>
      <c r="AF30" s="128">
        <f>IF(AND($H30="Nat'l Spec",$K30="1st",I30="Yes"),'Point Schedule'!$V$18,IF(AND($H30="Specialty",$K30="1st",I30="Yes"),'Point Schedule'!$V$15,0))</f>
        <v>0</v>
      </c>
      <c r="AG30" s="128">
        <f>IF(AND($H30="Nat'l Spec",$S30="BIS",$I30="Yes"),'Point Schedule'!$V$19,IF(AND($H30="Specialty",$S30="BIS",$I30="Yes"),'Point Schedule'!$V$16,0))</f>
        <v>0</v>
      </c>
      <c r="AH30" s="128">
        <f>IF(AND($H30="Nat'l Spec",$T30="BOSS",I30="Yes"),'Point Schedule'!$V$20,IF(AND($H30="Specialty",$T30="BOSS",$I30="Yes"),'Point Schedule'!$V$17,0))</f>
        <v>0</v>
      </c>
      <c r="AI30" s="115">
        <f t="shared" si="0"/>
        <v>0</v>
      </c>
      <c r="AJ30" s="115">
        <f>IF(AND($J30="Pro",'Tabulation Sheet'!$U$46=0),SUM($U30:$AH30),0)</f>
        <v>0</v>
      </c>
      <c r="AK30" s="116">
        <f>IF('Tabulation Sheet'!$AI21=0,SUM($AF30:$AH30),0)</f>
        <v>0</v>
      </c>
      <c r="AL30" s="761"/>
    </row>
    <row r="31" spans="1:38" ht="20.149999999999999" customHeight="1" x14ac:dyDescent="0.7">
      <c r="A31" s="387"/>
      <c r="B31" s="265"/>
      <c r="C31" s="716"/>
      <c r="D31" s="717"/>
      <c r="E31" s="718"/>
      <c r="F31" s="264"/>
      <c r="G31" s="264"/>
      <c r="H31" s="264"/>
      <c r="I31" s="264"/>
      <c r="J31" s="264"/>
      <c r="K31" s="264"/>
      <c r="L31" s="264"/>
      <c r="M31" s="264"/>
      <c r="N31" s="264"/>
      <c r="O31" s="264"/>
      <c r="P31" s="264"/>
      <c r="Q31" s="264"/>
      <c r="R31" s="264"/>
      <c r="S31" s="264"/>
      <c r="T31" s="264"/>
      <c r="U31" s="128">
        <f>IF(AND($G31="Major",$I31="No",$L31="WD"),'Point Schedule'!$P$12,IF(AND($G31="Minor",$I31="No",$L31="WD"),'Point Schedule'!$O$12,IF(AND(G31="Major",$I31="No",L31="WB"),'Point Schedule'!$P$12,IF(AND(G31="Minor",$I31="No",L31="WB"),'Point Schedule'!$O$12,0))))</f>
        <v>0</v>
      </c>
      <c r="V31" s="128">
        <f>IF(AND(G31="Major",$I31="No",M31="Reserve"),'Point Schedule'!$O$14,0)</f>
        <v>0</v>
      </c>
      <c r="W31" s="128">
        <f>IF(AND(G31="Major",$I31="No",N31="BOW"),'Point Schedule'!$P$13,IF(AND(G31="Minor",$I31="No",N31="BOW"),'Point Schedule'!$O$13,0))</f>
        <v>0</v>
      </c>
      <c r="X31" s="128">
        <f>IF(AND($G31="Major",$O31="BOB",$H31="Nat'l Spec"),'Point Schedule'!$O$17,IF(AND($G31="Minor",$O31="BOB",$H31="Nat'l Spec"),'Point Schedule'!$O$17,IF(AND($G31="Major",$O31="BOB",$H31="Specialty"),'Point Schedule'!$P$10,IF(AND($G31="Minor",$O31="BOB",$H31="Specialty"),'Point Schedule'!$O$10,IF(AND($G31="Minor",$O31="BOB",$H31="Spec"),'Point Schedule'!$O$10,IF(AND($G31="Major",$O31="BOB",$H31="Non-Spec"),'Point Schedule'!$P$10,IF(AND($G31="Minor",$O31="BOB",$H31="Non-Spec"),'Point Schedule'!$O$10,0)))))))</f>
        <v>0</v>
      </c>
      <c r="Y31" s="128">
        <f>IF(AND($G31="Major",$P31="BOS",$H31="Nat'l Spec"),'Point Schedule'!$O$18,IF(AND($G31="Minor",$P31="BOS",$H31="Nat'l Spec"),'Point Schedule'!$O$18,IF(AND($G31="Major",$P31="BOS",$H31="Specialty"),'Point Schedule'!$P$10,IF(AND($G31="Minor",$P31="BOS",$H31="Specialty"),'Point Schedule'!$O$10,IF(AND($G31="Minor",$P31="BOS",$H31="Spec"),'Point Schedule'!$O$10,IF(AND($G31="Major",$P31="BOS",$H31="Non-Spec"),'Point Schedule'!$P$10,IF(AND($G31="Minor",$P31="BOS",$H31="Non-Spec"),'Point Schedule'!$O$10,0)))))))</f>
        <v>0</v>
      </c>
      <c r="Z31" s="128">
        <f>IF(AND($G31="Major",$I31="No",$O31="SD"),'Point Schedule'!$P$20,IF(AND($G31="Minor",$I31="No",$O31="SD"),'Point Schedule'!$O$20,IF(AND($G31="Major",$I31="No",$O31="SB"),'Point Schedule'!$P$20,IF(AND($G31="Minor",$I31="No",$O31="SB"),'Point Schedule'!$O$20,0))))</f>
        <v>0</v>
      </c>
      <c r="AA31" s="128">
        <f>IF(AND($G31="Major",$I31="No",$H31="Specialty",$O31="JAM"),'Point Schedule'!$P$20,IF(AND($G31="Minor",$I31="No",$H31="Nat'l Spec",$O31="JAM"),'Point Schedule'!$O$20,IF(AND($G31="Minor",$I31="No",$H31="Non-Spec",$O31="JAM"),'Point Schedule'!$O$20,IF(AND($G31="Minor",$I31="No",$H31="Specialty",$O31="JAM"),'Point Schedule'!$O$20,IF(AND($G31="Major",$H31="Nat'l Spec",$I31="No",$O31="JAM"),'Point Schedule'!$O$21,IF(AND($G31="Major",$I31="No",$H31="Non-Spec",$O31="JAM"),'Point Schedule'!$P$20,0))))))</f>
        <v>0</v>
      </c>
      <c r="AB31" s="128">
        <f>IF(AND(Q31="1st",$O31="BOB",$H31="Non-Spec"), 'Point Schedule'!$O$5, IF(AND(Q31="2nd",$O31="BOB",$H31="Non-Spec"),'Point Schedule'!$O$6, IF(AND(Q31="3rd",$O31="BOB",$H31="Non-Spec"), 'Point Schedule'!$O$7, IF(AND(Q31="4th",$O31="BOB",$H31="Non-Spec"), 'Point Schedule'!$O$8,0))))</f>
        <v>0</v>
      </c>
      <c r="AC31" s="128">
        <f>IF(AND(R31="BIS",$Q31="1st"),'Point Schedule'!$O$4,0)</f>
        <v>0</v>
      </c>
      <c r="AD31" s="128">
        <f>IF(AND($H31="Nat'l Spec",$I31="No",$K31="1st",'Tabulation Sheet'!$AI22=0,$G31="Major"),'Point Schedule'!$W$26,IF(AND($H31="Nat'l Spec",$I31="No",'Tabulation Sheet'!$AI22=0,$K31="1st",$G31="Minor"),'Point Schedule'!$V$26,IF(AND($H31="Specialty",$I31="No",'Tabulation Sheet'!$AI22=0,$K31="1st",$G31="Major"),'Point Schedule'!$O$15,IF(AND($H31="Specialty",$I31="No",'Tabulation Sheet'!$AI22=0,$K31="1st",$G31="Minor"),'Point Schedule'!$O$15,0))))</f>
        <v>0</v>
      </c>
      <c r="AE31" s="129">
        <f>IF(AND(H31="Nat'l Spec",L31="WD"),'Point Schedule'!$O$19,IF(AND(H31="Nat'l Spec",L31="WB"),'Point Schedule'!$O$19,0))</f>
        <v>0</v>
      </c>
      <c r="AF31" s="128">
        <f>IF(AND($H31="Nat'l Spec",$K31="1st",I31="Yes"),'Point Schedule'!$V$18,IF(AND($H31="Specialty",$K31="1st",I31="Yes"),'Point Schedule'!$V$15,0))</f>
        <v>0</v>
      </c>
      <c r="AG31" s="128">
        <f>IF(AND($H31="Nat'l Spec",$S31="BIS",$I31="Yes"),'Point Schedule'!$V$19,IF(AND($H31="Specialty",$S31="BIS",$I31="Yes"),'Point Schedule'!$V$16,0))</f>
        <v>0</v>
      </c>
      <c r="AH31" s="128">
        <f>IF(AND($H31="Nat'l Spec",$T31="BOSS",I31="Yes"),'Point Schedule'!$V$20,IF(AND($H31="Specialty",$T31="BOSS",$I31="Yes"),'Point Schedule'!$V$17,0))</f>
        <v>0</v>
      </c>
      <c r="AI31" s="115">
        <f t="shared" si="0"/>
        <v>0</v>
      </c>
      <c r="AJ31" s="115">
        <f>IF(AND($J31="Pro",'Tabulation Sheet'!$V$46=0),SUM($U31:$AH31),0)</f>
        <v>0</v>
      </c>
      <c r="AK31" s="116">
        <f>IF('Tabulation Sheet'!$AI22=0,SUM($AF31:$AH31),0)</f>
        <v>0</v>
      </c>
      <c r="AL31" s="761"/>
    </row>
    <row r="32" spans="1:38" ht="20.149999999999999" customHeight="1" x14ac:dyDescent="0.7">
      <c r="A32" s="387"/>
      <c r="B32" s="265"/>
      <c r="C32" s="716"/>
      <c r="D32" s="717"/>
      <c r="E32" s="718"/>
      <c r="F32" s="264"/>
      <c r="G32" s="264"/>
      <c r="H32" s="264"/>
      <c r="I32" s="264"/>
      <c r="J32" s="264"/>
      <c r="K32" s="264"/>
      <c r="L32" s="264"/>
      <c r="M32" s="264"/>
      <c r="N32" s="264"/>
      <c r="O32" s="264"/>
      <c r="P32" s="264"/>
      <c r="Q32" s="264"/>
      <c r="R32" s="264"/>
      <c r="S32" s="264"/>
      <c r="T32" s="264"/>
      <c r="U32" s="128">
        <f>IF(AND($G32="Major",$I32="No",$L32="WD"),'Point Schedule'!$P$12,IF(AND($G32="Minor",$I32="No",$L32="WD"),'Point Schedule'!$O$12,IF(AND(G32="Major",$I32="No",L32="WB"),'Point Schedule'!$P$12,IF(AND(G32="Minor",$I32="No",L32="WB"),'Point Schedule'!$O$12,0))))</f>
        <v>0</v>
      </c>
      <c r="V32" s="128">
        <f>IF(AND(G32="Major",$I32="No",M32="Reserve"),'Point Schedule'!$O$14,0)</f>
        <v>0</v>
      </c>
      <c r="W32" s="128">
        <f>IF(AND(G32="Major",$I32="No",N32="BOW"),'Point Schedule'!$P$13,IF(AND(G32="Minor",$I32="No",N32="BOW"),'Point Schedule'!$O$13,0))</f>
        <v>0</v>
      </c>
      <c r="X32" s="128">
        <f>IF(AND($G32="Major",$O32="BOB",$H32="Nat'l Spec"),'Point Schedule'!$O$17,IF(AND($G32="Minor",$O32="BOB",$H32="Nat'l Spec"),'Point Schedule'!$O$17,IF(AND($G32="Major",$O32="BOB",$H32="Specialty"),'Point Schedule'!$P$10,IF(AND($G32="Minor",$O32="BOB",$H32="Specialty"),'Point Schedule'!$O$10,IF(AND($G32="Minor",$O32="BOB",$H32="Spec"),'Point Schedule'!$O$10,IF(AND($G32="Major",$O32="BOB",$H32="Non-Spec"),'Point Schedule'!$P$10,IF(AND($G32="Minor",$O32="BOB",$H32="Non-Spec"),'Point Schedule'!$O$10,0)))))))</f>
        <v>0</v>
      </c>
      <c r="Y32" s="128">
        <f>IF(AND($G32="Major",$P32="BOS",$H32="Nat'l Spec"),'Point Schedule'!$O$18,IF(AND($G32="Minor",$P32="BOS",$H32="Nat'l Spec"),'Point Schedule'!$O$18,IF(AND($G32="Major",$P32="BOS",$H32="Specialty"),'Point Schedule'!$P$10,IF(AND($G32="Minor",$P32="BOS",$H32="Specialty"),'Point Schedule'!$O$10,IF(AND($G32="Minor",$P32="BOS",$H32="Spec"),'Point Schedule'!$O$10,IF(AND($G32="Major",$P32="BOS",$H32="Non-Spec"),'Point Schedule'!$P$10,IF(AND($G32="Minor",$P32="BOS",$H32="Non-Spec"),'Point Schedule'!$O$10,0)))))))</f>
        <v>0</v>
      </c>
      <c r="Z32" s="128">
        <f>IF(AND($G32="Major",$I32="No",$O32="SD"),'Point Schedule'!$P$20,IF(AND($G32="Minor",$I32="No",$O32="SD"),'Point Schedule'!$O$20,IF(AND($G32="Major",$I32="No",$O32="SB"),'Point Schedule'!$P$20,IF(AND($G32="Minor",$I32="No",$O32="SB"),'Point Schedule'!$O$20,0))))</f>
        <v>0</v>
      </c>
      <c r="AA32" s="128">
        <f>IF(AND($G32="Major",$I32="No",$H32="Specialty",$O32="JAM"),'Point Schedule'!$P$20,IF(AND($G32="Minor",$I32="No",$H32="Nat'l Spec",$O32="JAM"),'Point Schedule'!$O$20,IF(AND($G32="Minor",$I32="No",$H32="Non-Spec",$O32="JAM"),'Point Schedule'!$O$20,IF(AND($G32="Minor",$I32="No",$H32="Specialty",$O32="JAM"),'Point Schedule'!$O$20,IF(AND($G32="Major",$H32="Nat'l Spec",$I32="No",$O32="JAM"),'Point Schedule'!$O$21,IF(AND($G32="Major",$I32="No",$H32="Non-Spec",$O32="JAM"),'Point Schedule'!$P$20,0))))))</f>
        <v>0</v>
      </c>
      <c r="AB32" s="128">
        <f>IF(AND(Q32="1st",$O32="BOB",$H32="Non-Spec"), 'Point Schedule'!$O$5, IF(AND(Q32="2nd",$O32="BOB",$H32="Non-Spec"),'Point Schedule'!$O$6, IF(AND(Q32="3rd",$O32="BOB",$H32="Non-Spec"), 'Point Schedule'!$O$7, IF(AND(Q32="4th",$O32="BOB",$H32="Non-Spec"), 'Point Schedule'!$O$8,0))))</f>
        <v>0</v>
      </c>
      <c r="AC32" s="128">
        <f>IF(AND(R32="BIS",$Q32="1st"),'Point Schedule'!$O$4,0)</f>
        <v>0</v>
      </c>
      <c r="AD32" s="128">
        <f>IF(AND($H32="Nat'l Spec",$I32="No",$K32="1st",'Tabulation Sheet'!$AI23=0,$G32="Major"),'Point Schedule'!$W$26,IF(AND($H32="Nat'l Spec",$I32="No",'Tabulation Sheet'!$AI23=0,$K32="1st",$G32="Minor"),'Point Schedule'!$V$26,IF(AND($H32="Specialty",$I32="No",'Tabulation Sheet'!$AI23=0,$K32="1st",$G32="Major"),'Point Schedule'!$O$15,IF(AND($H32="Specialty",$I32="No",'Tabulation Sheet'!$AI23=0,$K32="1st",$G32="Minor"),'Point Schedule'!$O$15,0))))</f>
        <v>0</v>
      </c>
      <c r="AE32" s="129">
        <f>IF(AND(H32="Nat'l Spec",L32="WD"),'Point Schedule'!$O$19,IF(AND(H32="Nat'l Spec",L32="WB"),'Point Schedule'!$O$19,0))</f>
        <v>0</v>
      </c>
      <c r="AF32" s="128">
        <f>IF(AND($H32="Nat'l Spec",$K32="1st",I32="Yes"),'Point Schedule'!$V$18,IF(AND($H32="Specialty",$K32="1st",I32="Yes"),'Point Schedule'!$V$15,0))</f>
        <v>0</v>
      </c>
      <c r="AG32" s="128">
        <f>IF(AND($H32="Nat'l Spec",$S32="BIS",$I32="Yes"),'Point Schedule'!$V$19,IF(AND($H32="Specialty",$S32="BIS",$I32="Yes"),'Point Schedule'!$V$16,0))</f>
        <v>0</v>
      </c>
      <c r="AH32" s="128">
        <f>IF(AND($H32="Nat'l Spec",$T32="BOSS",I32="Yes"),'Point Schedule'!$V$20,IF(AND($H32="Specialty",$T32="BOSS",$I32="Yes"),'Point Schedule'!$V$17,0))</f>
        <v>0</v>
      </c>
      <c r="AI32" s="115">
        <f t="shared" si="0"/>
        <v>0</v>
      </c>
      <c r="AJ32" s="115">
        <f>IF(AND($J32="Pro",'Tabulation Sheet'!$W$46=0),SUM($U32:$AH32),0)</f>
        <v>0</v>
      </c>
      <c r="AK32" s="116">
        <f>IF('Tabulation Sheet'!$AI23=0,SUM($AF32:$AH32),0)</f>
        <v>0</v>
      </c>
      <c r="AL32" s="761"/>
    </row>
    <row r="33" spans="1:38" ht="20.149999999999999" customHeight="1" x14ac:dyDescent="0.7">
      <c r="A33" s="387"/>
      <c r="B33" s="265"/>
      <c r="C33" s="716"/>
      <c r="D33" s="717"/>
      <c r="E33" s="718"/>
      <c r="F33" s="264"/>
      <c r="G33" s="264"/>
      <c r="H33" s="264"/>
      <c r="I33" s="264"/>
      <c r="J33" s="264"/>
      <c r="K33" s="264"/>
      <c r="L33" s="264"/>
      <c r="M33" s="264"/>
      <c r="N33" s="264"/>
      <c r="O33" s="264"/>
      <c r="P33" s="264"/>
      <c r="Q33" s="264"/>
      <c r="R33" s="264"/>
      <c r="S33" s="264"/>
      <c r="T33" s="264"/>
      <c r="U33" s="128">
        <f>IF(AND($G33="Major",$I33="No",$L33="WD"),'Point Schedule'!$P$12,IF(AND($G33="Minor",$I33="No",$L33="WD"),'Point Schedule'!$O$12,IF(AND(G33="Major",$I33="No",L33="WB"),'Point Schedule'!$P$12,IF(AND(G33="Minor",$I33="No",L33="WB"),'Point Schedule'!$O$12,0))))</f>
        <v>0</v>
      </c>
      <c r="V33" s="128">
        <f>IF(AND(G33="Major",$I33="No",M33="Reserve"),'Point Schedule'!$O$14,0)</f>
        <v>0</v>
      </c>
      <c r="W33" s="128">
        <f>IF(AND(G33="Major",$I33="No",N33="BOW"),'Point Schedule'!$P$13,IF(AND(G33="Minor",$I33="No",N33="BOW"),'Point Schedule'!$O$13,0))</f>
        <v>0</v>
      </c>
      <c r="X33" s="128">
        <f>IF(AND($G33="Major",$O33="BOB",$H33="Nat'l Spec"),'Point Schedule'!$O$17,IF(AND($G33="Minor",$O33="BOB",$H33="Nat'l Spec"),'Point Schedule'!$O$17,IF(AND($G33="Major",$O33="BOB",$H33="Specialty"),'Point Schedule'!$P$10,IF(AND($G33="Minor",$O33="BOB",$H33="Specialty"),'Point Schedule'!$O$10,IF(AND($G33="Minor",$O33="BOB",$H33="Spec"),'Point Schedule'!$O$10,IF(AND($G33="Major",$O33="BOB",$H33="Non-Spec"),'Point Schedule'!$P$10,IF(AND($G33="Minor",$O33="BOB",$H33="Non-Spec"),'Point Schedule'!$O$10,0)))))))</f>
        <v>0</v>
      </c>
      <c r="Y33" s="128">
        <f>IF(AND($G33="Major",$P33="BOS",$H33="Nat'l Spec"),'Point Schedule'!$O$18,IF(AND($G33="Minor",$P33="BOS",$H33="Nat'l Spec"),'Point Schedule'!$O$18,IF(AND($G33="Major",$P33="BOS",$H33="Specialty"),'Point Schedule'!$P$10,IF(AND($G33="Minor",$P33="BOS",$H33="Specialty"),'Point Schedule'!$O$10,IF(AND($G33="Minor",$P33="BOS",$H33="Spec"),'Point Schedule'!$O$10,IF(AND($G33="Major",$P33="BOS",$H33="Non-Spec"),'Point Schedule'!$P$10,IF(AND($G33="Minor",$P33="BOS",$H33="Non-Spec"),'Point Schedule'!$O$10,0)))))))</f>
        <v>0</v>
      </c>
      <c r="Z33" s="128">
        <f>IF(AND($G33="Major",$I33="No",$O33="SD"),'Point Schedule'!$P$20,IF(AND($G33="Minor",$I33="No",$O33="SD"),'Point Schedule'!$O$20,IF(AND($G33="Major",$I33="No",$O33="SB"),'Point Schedule'!$P$20,IF(AND($G33="Minor",$I33="No",$O33="SB"),'Point Schedule'!$O$20,0))))</f>
        <v>0</v>
      </c>
      <c r="AA33" s="128">
        <f>IF(AND($G33="Major",$I33="No",$H33="Specialty",$O33="JAM"),'Point Schedule'!$P$20,IF(AND($G33="Minor",$I33="No",$H33="Nat'l Spec",$O33="JAM"),'Point Schedule'!$O$20,IF(AND($G33="Minor",$I33="No",$H33="Non-Spec",$O33="JAM"),'Point Schedule'!$O$20,IF(AND($G33="Minor",$I33="No",$H33="Specialty",$O33="JAM"),'Point Schedule'!$O$20,IF(AND($G33="Major",$H33="Nat'l Spec",$I33="No",$O33="JAM"),'Point Schedule'!$O$21,IF(AND($G33="Major",$I33="No",$H33="Non-Spec",$O33="JAM"),'Point Schedule'!$P$20,0))))))</f>
        <v>0</v>
      </c>
      <c r="AB33" s="128">
        <f>IF(AND(Q33="1st",$O33="BOB",$H33="Non-Spec"), 'Point Schedule'!$O$5, IF(AND(Q33="2nd",$O33="BOB",$H33="Non-Spec"),'Point Schedule'!$O$6, IF(AND(Q33="3rd",$O33="BOB",$H33="Non-Spec"), 'Point Schedule'!$O$7, IF(AND(Q33="4th",$O33="BOB",$H33="Non-Spec"), 'Point Schedule'!$O$8,0))))</f>
        <v>0</v>
      </c>
      <c r="AC33" s="128">
        <f>IF(AND(R33="BIS",$Q33="1st"),'Point Schedule'!$O$4,0)</f>
        <v>0</v>
      </c>
      <c r="AD33" s="128">
        <f>IF(AND($H33="Nat'l Spec",$I33="No",$K33="1st",'Tabulation Sheet'!$AI24=0,$G33="Major"),'Point Schedule'!$W$26,IF(AND($H33="Nat'l Spec",$I33="No",'Tabulation Sheet'!$AI24=0,$K33="1st",$G33="Minor"),'Point Schedule'!$V$26,IF(AND($H33="Specialty",$I33="No",'Tabulation Sheet'!$AI24=0,$K33="1st",$G33="Major"),'Point Schedule'!$O$15,IF(AND($H33="Specialty",$I33="No",'Tabulation Sheet'!$AI24=0,$K33="1st",$G33="Minor"),'Point Schedule'!$O$15,0))))</f>
        <v>0</v>
      </c>
      <c r="AE33" s="129">
        <f>IF(AND(H33="Nat'l Spec",L33="WD"),'Point Schedule'!$O$19,IF(AND(H33="Nat'l Spec",L33="WB"),'Point Schedule'!$O$19,0))</f>
        <v>0</v>
      </c>
      <c r="AF33" s="128">
        <f>IF(AND($H33="Nat'l Spec",$K33="1st",I33="Yes"),'Point Schedule'!$V$18,IF(AND($H33="Specialty",$K33="1st",I33="Yes"),'Point Schedule'!$V$15,0))</f>
        <v>0</v>
      </c>
      <c r="AG33" s="128">
        <f>IF(AND($H33="Nat'l Spec",$S33="BIS",$I33="Yes"),'Point Schedule'!$V$19,IF(AND($H33="Specialty",$S33="BIS",$I33="Yes"),'Point Schedule'!$V$16,0))</f>
        <v>0</v>
      </c>
      <c r="AH33" s="128">
        <f>IF(AND($H33="Nat'l Spec",$T33="BOSS",I33="Yes"),'Point Schedule'!$V$20,IF(AND($H33="Specialty",$T33="BOSS",$I33="Yes"),'Point Schedule'!$V$17,0))</f>
        <v>0</v>
      </c>
      <c r="AI33" s="115">
        <f t="shared" si="0"/>
        <v>0</v>
      </c>
      <c r="AJ33" s="115">
        <f>IF(AND($J33="Pro",'Tabulation Sheet'!$X$46=0),SUM($U33:$AH33),0)</f>
        <v>0</v>
      </c>
      <c r="AK33" s="116">
        <f>IF('Tabulation Sheet'!$AI24=0,SUM($AF33:$AH33),0)</f>
        <v>0</v>
      </c>
      <c r="AL33" s="761"/>
    </row>
    <row r="34" spans="1:38" ht="20.149999999999999" customHeight="1" x14ac:dyDescent="0.7">
      <c r="A34" s="387"/>
      <c r="B34" s="265"/>
      <c r="C34" s="716"/>
      <c r="D34" s="717"/>
      <c r="E34" s="718"/>
      <c r="F34" s="264"/>
      <c r="G34" s="264"/>
      <c r="H34" s="264"/>
      <c r="I34" s="264"/>
      <c r="J34" s="264"/>
      <c r="K34" s="264"/>
      <c r="L34" s="264"/>
      <c r="M34" s="264"/>
      <c r="N34" s="264"/>
      <c r="O34" s="264"/>
      <c r="P34" s="264"/>
      <c r="Q34" s="264"/>
      <c r="R34" s="264"/>
      <c r="S34" s="264"/>
      <c r="T34" s="264"/>
      <c r="U34" s="128">
        <f>IF(AND($G34="Major",$I34="No",$L34="WD"),'Point Schedule'!$P$12,IF(AND($G34="Minor",$I34="No",$L34="WD"),'Point Schedule'!$O$12,IF(AND(G34="Major",$I34="No",L34="WB"),'Point Schedule'!$P$12,IF(AND(G34="Minor",$I34="No",L34="WB"),'Point Schedule'!$O$12,0))))</f>
        <v>0</v>
      </c>
      <c r="V34" s="128">
        <f>IF(AND(G34="Major",$I34="No",M34="Reserve"),'Point Schedule'!$O$14,0)</f>
        <v>0</v>
      </c>
      <c r="W34" s="128">
        <f>IF(AND(G34="Major",$I34="No",N34="BOW"),'Point Schedule'!$P$13,IF(AND(G34="Minor",$I34="No",N34="BOW"),'Point Schedule'!$O$13,0))</f>
        <v>0</v>
      </c>
      <c r="X34" s="128">
        <f>IF(AND($G34="Major",$O34="BOB",$H34="Nat'l Spec"),'Point Schedule'!$O$17,IF(AND($G34="Minor",$O34="BOB",$H34="Nat'l Spec"),'Point Schedule'!$O$17,IF(AND($G34="Major",$O34="BOB",$H34="Specialty"),'Point Schedule'!$P$10,IF(AND($G34="Minor",$O34="BOB",$H34="Specialty"),'Point Schedule'!$O$10,IF(AND($G34="Minor",$O34="BOB",$H34="Spec"),'Point Schedule'!$O$10,IF(AND($G34="Major",$O34="BOB",$H34="Non-Spec"),'Point Schedule'!$P$10,IF(AND($G34="Minor",$O34="BOB",$H34="Non-Spec"),'Point Schedule'!$O$10,0)))))))</f>
        <v>0</v>
      </c>
      <c r="Y34" s="128">
        <f>IF(AND($G34="Major",$P34="BOS",$H34="Nat'l Spec"),'Point Schedule'!$O$18,IF(AND($G34="Minor",$P34="BOS",$H34="Nat'l Spec"),'Point Schedule'!$O$18,IF(AND($G34="Major",$P34="BOS",$H34="Specialty"),'Point Schedule'!$P$10,IF(AND($G34="Minor",$P34="BOS",$H34="Specialty"),'Point Schedule'!$O$10,IF(AND($G34="Minor",$P34="BOS",$H34="Spec"),'Point Schedule'!$O$10,IF(AND($G34="Major",$P34="BOS",$H34="Non-Spec"),'Point Schedule'!$P$10,IF(AND($G34="Minor",$P34="BOS",$H34="Non-Spec"),'Point Schedule'!$O$10,0)))))))</f>
        <v>0</v>
      </c>
      <c r="Z34" s="128">
        <f>IF(AND($G34="Major",$I34="No",$O34="SD"),'Point Schedule'!$P$20,IF(AND($G34="Minor",$I34="No",$O34="SD"),'Point Schedule'!$O$20,IF(AND($G34="Major",$I34="No",$O34="SB"),'Point Schedule'!$P$20,IF(AND($G34="Minor",$I34="No",$O34="SB"),'Point Schedule'!$O$20,0))))</f>
        <v>0</v>
      </c>
      <c r="AA34" s="128">
        <f>IF(AND($G34="Major",$I34="No",$H34="Specialty",$O34="JAM"),'Point Schedule'!$P$20,IF(AND($G34="Minor",$I34="No",$H34="Nat'l Spec",$O34="JAM"),'Point Schedule'!$O$20,IF(AND($G34="Minor",$I34="No",$H34="Non-Spec",$O34="JAM"),'Point Schedule'!$O$20,IF(AND($G34="Minor",$I34="No",$H34="Specialty",$O34="JAM"),'Point Schedule'!$O$20,IF(AND($G34="Major",$H34="Nat'l Spec",$I34="No",$O34="JAM"),'Point Schedule'!$O$21,IF(AND($G34="Major",$I34="No",$H34="Non-Spec",$O34="JAM"),'Point Schedule'!$P$20,0))))))</f>
        <v>0</v>
      </c>
      <c r="AB34" s="128">
        <f>IF(AND(Q34="1st",$O34="BOB",$H34="Non-Spec"), 'Point Schedule'!$O$5, IF(AND(Q34="2nd",$O34="BOB",$H34="Non-Spec"),'Point Schedule'!$O$6, IF(AND(Q34="3rd",$O34="BOB",$H34="Non-Spec"), 'Point Schedule'!$O$7, IF(AND(Q34="4th",$O34="BOB",$H34="Non-Spec"), 'Point Schedule'!$O$8,0))))</f>
        <v>0</v>
      </c>
      <c r="AC34" s="128">
        <f>IF(AND(R34="BIS",$Q34="1st"),'Point Schedule'!$O$4,0)</f>
        <v>0</v>
      </c>
      <c r="AD34" s="128">
        <f>IF(AND($H34="Nat'l Spec",$I34="No",$K34="1st",'Tabulation Sheet'!$AI25=0,$G34="Major"),'Point Schedule'!$W$26,IF(AND($H34="Nat'l Spec",$I34="No",'Tabulation Sheet'!$AI25=0,$K34="1st",$G34="Minor"),'Point Schedule'!$V$26,IF(AND($H34="Specialty",$I34="No",'Tabulation Sheet'!$AI25=0,$K34="1st",$G34="Major"),'Point Schedule'!$O$15,IF(AND($H34="Specialty",$I34="No",'Tabulation Sheet'!$AI25=0,$K34="1st",$G34="Minor"),'Point Schedule'!$O$15,0))))</f>
        <v>0</v>
      </c>
      <c r="AE34" s="129">
        <f>IF(AND(H34="Nat'l Spec",L34="WD"),'Point Schedule'!$O$19,IF(AND(H34="Nat'l Spec",L34="WB"),'Point Schedule'!$O$19,0))</f>
        <v>0</v>
      </c>
      <c r="AF34" s="128">
        <f>IF(AND($H34="Nat'l Spec",$K34="1st",I34="Yes"),'Point Schedule'!$V$18,IF(AND($H34="Specialty",$K34="1st",I34="Yes"),'Point Schedule'!$V$15,0))</f>
        <v>0</v>
      </c>
      <c r="AG34" s="128">
        <f>IF(AND($H34="Nat'l Spec",$S34="BIS",$I34="Yes"),'Point Schedule'!$V$19,IF(AND($H34="Specialty",$S34="BIS",$I34="Yes"),'Point Schedule'!$V$16,0))</f>
        <v>0</v>
      </c>
      <c r="AH34" s="128">
        <f>IF(AND($H34="Nat'l Spec",$T34="BOSS",I34="Yes"),'Point Schedule'!$V$20,IF(AND($H34="Specialty",$T34="BOSS",$I34="Yes"),'Point Schedule'!$V$17,0))</f>
        <v>0</v>
      </c>
      <c r="AI34" s="115">
        <f t="shared" si="0"/>
        <v>0</v>
      </c>
      <c r="AJ34" s="115">
        <f>IF(AND($J34="Pro",'Tabulation Sheet'!$Y$46=0),SUM($U34:$AH34),0)</f>
        <v>0</v>
      </c>
      <c r="AK34" s="116">
        <f>IF('Tabulation Sheet'!$AI25=0,SUM($AF34:$AH34),0)</f>
        <v>0</v>
      </c>
      <c r="AL34" s="761"/>
    </row>
    <row r="35" spans="1:38" ht="20.149999999999999" customHeight="1" x14ac:dyDescent="0.7">
      <c r="A35" s="387"/>
      <c r="B35" s="265"/>
      <c r="C35" s="716"/>
      <c r="D35" s="717"/>
      <c r="E35" s="718"/>
      <c r="F35" s="264"/>
      <c r="G35" s="264"/>
      <c r="H35" s="264"/>
      <c r="I35" s="264"/>
      <c r="J35" s="264"/>
      <c r="K35" s="264"/>
      <c r="L35" s="264"/>
      <c r="M35" s="264"/>
      <c r="N35" s="264"/>
      <c r="O35" s="264"/>
      <c r="P35" s="264"/>
      <c r="Q35" s="264"/>
      <c r="R35" s="264"/>
      <c r="S35" s="264"/>
      <c r="T35" s="264"/>
      <c r="U35" s="128">
        <f>IF(AND($G35="Major",$I35="No",$L35="WD"),'Point Schedule'!$P$12,IF(AND($G35="Minor",$I35="No",$L35="WD"),'Point Schedule'!$O$12,IF(AND(G35="Major",$I35="No",L35="WB"),'Point Schedule'!$P$12,IF(AND(G35="Minor",$I35="No",L35="WB"),'Point Schedule'!$O$12,0))))</f>
        <v>0</v>
      </c>
      <c r="V35" s="128">
        <f>IF(AND(G35="Major",$I35="No",M35="Reserve"),'Point Schedule'!$O$14,0)</f>
        <v>0</v>
      </c>
      <c r="W35" s="128">
        <f>IF(AND(G35="Major",$I35="No",N35="BOW"),'Point Schedule'!$P$13,IF(AND(G35="Minor",$I35="No",N35="BOW"),'Point Schedule'!$O$13,0))</f>
        <v>0</v>
      </c>
      <c r="X35" s="128">
        <f>IF(AND($G35="Major",$O35="BOB",$H35="Nat'l Spec"),'Point Schedule'!$O$17,IF(AND($G35="Minor",$O35="BOB",$H35="Nat'l Spec"),'Point Schedule'!$O$17,IF(AND($G35="Major",$O35="BOB",$H35="Specialty"),'Point Schedule'!$P$10,IF(AND($G35="Minor",$O35="BOB",$H35="Specialty"),'Point Schedule'!$O$10,IF(AND($G35="Minor",$O35="BOB",$H35="Spec"),'Point Schedule'!$O$10,IF(AND($G35="Major",$O35="BOB",$H35="Non-Spec"),'Point Schedule'!$P$10,IF(AND($G35="Minor",$O35="BOB",$H35="Non-Spec"),'Point Schedule'!$O$10,0)))))))</f>
        <v>0</v>
      </c>
      <c r="Y35" s="128">
        <f>IF(AND($G35="Major",$P35="BOS",$H35="Nat'l Spec"),'Point Schedule'!$O$18,IF(AND($G35="Minor",$P35="BOS",$H35="Nat'l Spec"),'Point Schedule'!$O$18,IF(AND($G35="Major",$P35="BOS",$H35="Specialty"),'Point Schedule'!$P$10,IF(AND($G35="Minor",$P35="BOS",$H35="Specialty"),'Point Schedule'!$O$10,IF(AND($G35="Minor",$P35="BOS",$H35="Spec"),'Point Schedule'!$O$10,IF(AND($G35="Major",$P35="BOS",$H35="Non-Spec"),'Point Schedule'!$P$10,IF(AND($G35="Minor",$P35="BOS",$H35="Non-Spec"),'Point Schedule'!$O$10,0)))))))</f>
        <v>0</v>
      </c>
      <c r="Z35" s="128">
        <f>IF(AND($G35="Major",$I35="No",$O35="SD"),'Point Schedule'!$P$20,IF(AND($G35="Minor",$I35="No",$O35="SD"),'Point Schedule'!$O$20,IF(AND($G35="Major",$I35="No",$O35="SB"),'Point Schedule'!$P$20,IF(AND($G35="Minor",$I35="No",$O35="SB"),'Point Schedule'!$O$20,0))))</f>
        <v>0</v>
      </c>
      <c r="AA35" s="128">
        <f>IF(AND($G35="Major",$I35="No",$H35="Specialty",$O35="JAM"),'Point Schedule'!$P$20,IF(AND($G35="Minor",$I35="No",$H35="Nat'l Spec",$O35="JAM"),'Point Schedule'!$O$20,IF(AND($G35="Minor",$I35="No",$H35="Non-Spec",$O35="JAM"),'Point Schedule'!$O$20,IF(AND($G35="Minor",$I35="No",$H35="Specialty",$O35="JAM"),'Point Schedule'!$O$20,IF(AND($G35="Major",$H35="Nat'l Spec",$I35="No",$O35="JAM"),'Point Schedule'!$O$21,IF(AND($G35="Major",$I35="No",$H35="Non-Spec",$O35="JAM"),'Point Schedule'!$P$20,0))))))</f>
        <v>0</v>
      </c>
      <c r="AB35" s="128">
        <f>IF(AND(Q35="1st",$O35="BOB",$H35="Non-Spec"), 'Point Schedule'!$O$5, IF(AND(Q35="2nd",$O35="BOB",$H35="Non-Spec"),'Point Schedule'!$O$6, IF(AND(Q35="3rd",$O35="BOB",$H35="Non-Spec"), 'Point Schedule'!$O$7, IF(AND(Q35="4th",$O35="BOB",$H35="Non-Spec"), 'Point Schedule'!$O$8,0))))</f>
        <v>0</v>
      </c>
      <c r="AC35" s="128">
        <f>IF(AND(R35="BIS",$Q35="1st"),'Point Schedule'!$O$4,0)</f>
        <v>0</v>
      </c>
      <c r="AD35" s="128">
        <f>IF(AND($H35="Nat'l Spec",$I35="No",$K35="1st",'Tabulation Sheet'!$AI26=0,$G35="Major"),'Point Schedule'!$W$26,IF(AND($H35="Nat'l Spec",$I35="No",'Tabulation Sheet'!$AI26=0,$K35="1st",$G35="Minor"),'Point Schedule'!$V$26,IF(AND($H35="Specialty",$I35="No",'Tabulation Sheet'!$AI26=0,$K35="1st",$G35="Major"),'Point Schedule'!$O$15,IF(AND($H35="Specialty",$I35="No",'Tabulation Sheet'!$AI26=0,$K35="1st",$G35="Minor"),'Point Schedule'!$O$15,0))))</f>
        <v>0</v>
      </c>
      <c r="AE35" s="129">
        <f>IF(AND(H35="Nat'l Spec",L35="WD"),'Point Schedule'!$O$19,IF(AND(H35="Nat'l Spec",L35="WB"),'Point Schedule'!$O$19,0))</f>
        <v>0</v>
      </c>
      <c r="AF35" s="128">
        <f>IF(AND($H35="Nat'l Spec",$K35="1st",I35="Yes"),'Point Schedule'!$V$18,IF(AND($H35="Specialty",$K35="1st",I35="Yes"),'Point Schedule'!$V$15,0))</f>
        <v>0</v>
      </c>
      <c r="AG35" s="128">
        <f>IF(AND($H35="Nat'l Spec",$S35="BIS",$I35="Yes"),'Point Schedule'!$V$19,IF(AND($H35="Specialty",$S35="BIS",$I35="Yes"),'Point Schedule'!$V$16,0))</f>
        <v>0</v>
      </c>
      <c r="AH35" s="128">
        <f>IF(AND($H35="Nat'l Spec",$T35="BOSS",I35="Yes"),'Point Schedule'!$V$20,IF(AND($H35="Specialty",$T35="BOSS",$I35="Yes"),'Point Schedule'!$V$17,0))</f>
        <v>0</v>
      </c>
      <c r="AI35" s="115">
        <f t="shared" si="0"/>
        <v>0</v>
      </c>
      <c r="AJ35" s="115">
        <f>IF(AND($J35="Pro",'Tabulation Sheet'!$Z$46=0),SUM($U35:$AH35),0)</f>
        <v>0</v>
      </c>
      <c r="AK35" s="116">
        <f>IF('Tabulation Sheet'!$AI26=0,SUM($AF35:$AH35),0)</f>
        <v>0</v>
      </c>
      <c r="AL35" s="761"/>
    </row>
    <row r="36" spans="1:38" ht="20.149999999999999" customHeight="1" x14ac:dyDescent="0.7">
      <c r="A36" s="387"/>
      <c r="B36" s="265"/>
      <c r="C36" s="716"/>
      <c r="D36" s="717"/>
      <c r="E36" s="718"/>
      <c r="F36" s="264"/>
      <c r="G36" s="264"/>
      <c r="H36" s="264"/>
      <c r="I36" s="264"/>
      <c r="J36" s="264"/>
      <c r="K36" s="264"/>
      <c r="L36" s="264"/>
      <c r="M36" s="264"/>
      <c r="N36" s="264"/>
      <c r="O36" s="264"/>
      <c r="P36" s="264"/>
      <c r="Q36" s="264"/>
      <c r="R36" s="264"/>
      <c r="S36" s="264"/>
      <c r="T36" s="264"/>
      <c r="U36" s="128">
        <f>IF(AND($G36="Major",$I36="No",$L36="WD"),'Point Schedule'!$P$12,IF(AND($G36="Minor",$I36="No",$L36="WD"),'Point Schedule'!$O$12,IF(AND(G36="Major",$I36="No",L36="WB"),'Point Schedule'!$P$12,IF(AND(G36="Minor",$I36="No",L36="WB"),'Point Schedule'!$O$12,0))))</f>
        <v>0</v>
      </c>
      <c r="V36" s="128">
        <f>IF(AND(G36="Major",$I36="No",M36="Reserve"),'Point Schedule'!$O$14,0)</f>
        <v>0</v>
      </c>
      <c r="W36" s="128">
        <f>IF(AND(G36="Major",$I36="No",N36="BOW"),'Point Schedule'!$P$13,IF(AND(G36="Minor",$I36="No",N36="BOW"),'Point Schedule'!$O$13,0))</f>
        <v>0</v>
      </c>
      <c r="X36" s="128">
        <f>IF(AND($G36="Major",$O36="BOB",$H36="Nat'l Spec"),'Point Schedule'!$O$17,IF(AND($G36="Minor",$O36="BOB",$H36="Nat'l Spec"),'Point Schedule'!$O$17,IF(AND($G36="Major",$O36="BOB",$H36="Specialty"),'Point Schedule'!$P$10,IF(AND($G36="Minor",$O36="BOB",$H36="Specialty"),'Point Schedule'!$O$10,IF(AND($G36="Minor",$O36="BOB",$H36="Spec"),'Point Schedule'!$O$10,IF(AND($G36="Major",$O36="BOB",$H36="Non-Spec"),'Point Schedule'!$P$10,IF(AND($G36="Minor",$O36="BOB",$H36="Non-Spec"),'Point Schedule'!$O$10,0)))))))</f>
        <v>0</v>
      </c>
      <c r="Y36" s="128">
        <f>IF(AND($G36="Major",$P36="BOS",$H36="Nat'l Spec"),'Point Schedule'!$O$18,IF(AND($G36="Minor",$P36="BOS",$H36="Nat'l Spec"),'Point Schedule'!$O$18,IF(AND($G36="Major",$P36="BOS",$H36="Specialty"),'Point Schedule'!$P$10,IF(AND($G36="Minor",$P36="BOS",$H36="Specialty"),'Point Schedule'!$O$10,IF(AND($G36="Minor",$P36="BOS",$H36="Spec"),'Point Schedule'!$O$10,IF(AND($G36="Major",$P36="BOS",$H36="Non-Spec"),'Point Schedule'!$P$10,IF(AND($G36="Minor",$P36="BOS",$H36="Non-Spec"),'Point Schedule'!$O$10,0)))))))</f>
        <v>0</v>
      </c>
      <c r="Z36" s="128">
        <f>IF(AND($G36="Major",$I36="No",$O36="SD"),'Point Schedule'!$P$20,IF(AND($G36="Minor",$I36="No",$O36="SD"),'Point Schedule'!$O$20,IF(AND($G36="Major",$I36="No",$O36="SB"),'Point Schedule'!$P$20,IF(AND($G36="Minor",$I36="No",$O36="SB"),'Point Schedule'!$O$20,0))))</f>
        <v>0</v>
      </c>
      <c r="AA36" s="128">
        <f>IF(AND($G36="Major",$I36="No",$H36="Specialty",$O36="JAM"),'Point Schedule'!$P$20,IF(AND($G36="Minor",$I36="No",$H36="Nat'l Spec",$O36="JAM"),'Point Schedule'!$O$20,IF(AND($G36="Minor",$I36="No",$H36="Non-Spec",$O36="JAM"),'Point Schedule'!$O$20,IF(AND($G36="Minor",$I36="No",$H36="Specialty",$O36="JAM"),'Point Schedule'!$O$20,IF(AND($G36="Major",$H36="Nat'l Spec",$I36="No",$O36="JAM"),'Point Schedule'!$O$21,IF(AND($G36="Major",$I36="No",$H36="Non-Spec",$O36="JAM"),'Point Schedule'!$P$20,0))))))</f>
        <v>0</v>
      </c>
      <c r="AB36" s="128">
        <f>IF(AND(Q36="1st",$O36="BOB",$H36="Non-Spec"), 'Point Schedule'!$O$5, IF(AND(Q36="2nd",$O36="BOB",$H36="Non-Spec"),'Point Schedule'!$O$6, IF(AND(Q36="3rd",$O36="BOB",$H36="Non-Spec"), 'Point Schedule'!$O$7, IF(AND(Q36="4th",$O36="BOB",$H36="Non-Spec"), 'Point Schedule'!$O$8,0))))</f>
        <v>0</v>
      </c>
      <c r="AC36" s="128">
        <f>IF(AND(R36="BIS",$Q36="1st"),'Point Schedule'!$O$4,0)</f>
        <v>0</v>
      </c>
      <c r="AD36" s="128">
        <f>IF(AND($H36="Nat'l Spec",$I36="No",$K36="1st",'Tabulation Sheet'!$AI27=0,$G36="Major"),'Point Schedule'!$W$26,IF(AND($H36="Nat'l Spec",$I36="No",'Tabulation Sheet'!$AI27=0,$K36="1st",$G36="Minor"),'Point Schedule'!$V$26,IF(AND($H36="Specialty",$I36="No",'Tabulation Sheet'!$AI27=0,$K36="1st",$G36="Major"),'Point Schedule'!$O$15,IF(AND($H36="Specialty",$I36="No",'Tabulation Sheet'!$AI27=0,$K36="1st",$G36="Minor"),'Point Schedule'!$O$15,0))))</f>
        <v>0</v>
      </c>
      <c r="AE36" s="129">
        <f>IF(AND(H36="Nat'l Spec",L36="WD"),'Point Schedule'!$O$19,IF(AND(H36="Nat'l Spec",L36="WB"),'Point Schedule'!$O$19,0))</f>
        <v>0</v>
      </c>
      <c r="AF36" s="128">
        <f>IF(AND($H36="Nat'l Spec",$K36="1st",I36="Yes"),'Point Schedule'!$V$18,IF(AND($H36="Specialty",$K36="1st",I36="Yes"),'Point Schedule'!$V$15,0))</f>
        <v>0</v>
      </c>
      <c r="AG36" s="128">
        <f>IF(AND($H36="Nat'l Spec",$S36="BIS",$I36="Yes"),'Point Schedule'!$V$19,IF(AND($H36="Specialty",$S36="BIS",$I36="Yes"),'Point Schedule'!$V$16,0))</f>
        <v>0</v>
      </c>
      <c r="AH36" s="128">
        <f>IF(AND($H36="Nat'l Spec",$T36="BOSS",I36="Yes"),'Point Schedule'!$V$20,IF(AND($H36="Specialty",$T36="BOSS",$I36="Yes"),'Point Schedule'!$V$17,0))</f>
        <v>0</v>
      </c>
      <c r="AI36" s="115">
        <f t="shared" si="0"/>
        <v>0</v>
      </c>
      <c r="AJ36" s="115">
        <f>IF(AND($J36="Pro",'Tabulation Sheet'!$AA$46=0),SUM($U36:$AH36),0)</f>
        <v>0</v>
      </c>
      <c r="AK36" s="116">
        <f>IF('Tabulation Sheet'!$AI27=0,SUM($AF36:$AH36),0)</f>
        <v>0</v>
      </c>
      <c r="AL36" s="761"/>
    </row>
    <row r="37" spans="1:38" ht="20.149999999999999" customHeight="1" x14ac:dyDescent="0.7">
      <c r="A37" s="387"/>
      <c r="B37" s="265"/>
      <c r="C37" s="716"/>
      <c r="D37" s="717"/>
      <c r="E37" s="718"/>
      <c r="F37" s="264"/>
      <c r="G37" s="264"/>
      <c r="H37" s="264"/>
      <c r="I37" s="264"/>
      <c r="J37" s="264"/>
      <c r="K37" s="264"/>
      <c r="L37" s="264"/>
      <c r="M37" s="264"/>
      <c r="N37" s="264"/>
      <c r="O37" s="264"/>
      <c r="P37" s="264"/>
      <c r="Q37" s="264"/>
      <c r="R37" s="264"/>
      <c r="S37" s="264"/>
      <c r="T37" s="264"/>
      <c r="U37" s="128">
        <f>IF(AND($G37="Major",$I37="No",$L37="WD"),'Point Schedule'!$P$12,IF(AND($G37="Minor",$I37="No",$L37="WD"),'Point Schedule'!$O$12,IF(AND(G37="Major",$I37="No",L37="WB"),'Point Schedule'!$P$12,IF(AND(G37="Minor",$I37="No",L37="WB"),'Point Schedule'!$O$12,0))))</f>
        <v>0</v>
      </c>
      <c r="V37" s="128">
        <f>IF(AND(G37="Major",$I37="No",M37="Reserve"),'Point Schedule'!$O$14,0)</f>
        <v>0</v>
      </c>
      <c r="W37" s="128">
        <f>IF(AND(G37="Major",$I37="No",N37="BOW"),'Point Schedule'!$P$13,IF(AND(G37="Minor",$I37="No",N37="BOW"),'Point Schedule'!$O$13,0))</f>
        <v>0</v>
      </c>
      <c r="X37" s="128">
        <f>IF(AND($G37="Major",$O37="BOB",$H37="Nat'l Spec"),'Point Schedule'!$O$17,IF(AND($G37="Minor",$O37="BOB",$H37="Nat'l Spec"),'Point Schedule'!$O$17,IF(AND($G37="Major",$O37="BOB",$H37="Specialty"),'Point Schedule'!$P$10,IF(AND($G37="Minor",$O37="BOB",$H37="Specialty"),'Point Schedule'!$O$10,IF(AND($G37="Minor",$O37="BOB",$H37="Spec"),'Point Schedule'!$O$10,IF(AND($G37="Major",$O37="BOB",$H37="Non-Spec"),'Point Schedule'!$P$10,IF(AND($G37="Minor",$O37="BOB",$H37="Non-Spec"),'Point Schedule'!$O$10,0)))))))</f>
        <v>0</v>
      </c>
      <c r="Y37" s="128">
        <f>IF(AND($G37="Major",$P37="BOS",$H37="Nat'l Spec"),'Point Schedule'!$O$18,IF(AND($G37="Minor",$P37="BOS",$H37="Nat'l Spec"),'Point Schedule'!$O$18,IF(AND($G37="Major",$P37="BOS",$H37="Specialty"),'Point Schedule'!$P$10,IF(AND($G37="Minor",$P37="BOS",$H37="Specialty"),'Point Schedule'!$O$10,IF(AND($G37="Minor",$P37="BOS",$H37="Spec"),'Point Schedule'!$O$10,IF(AND($G37="Major",$P37="BOS",$H37="Non-Spec"),'Point Schedule'!$P$10,IF(AND($G37="Minor",$P37="BOS",$H37="Non-Spec"),'Point Schedule'!$O$10,0)))))))</f>
        <v>0</v>
      </c>
      <c r="Z37" s="128">
        <f>IF(AND($G37="Major",$I37="No",$O37="SD"),'Point Schedule'!$P$20,IF(AND($G37="Minor",$I37="No",$O37="SD"),'Point Schedule'!$O$20,IF(AND($G37="Major",$I37="No",$O37="SB"),'Point Schedule'!$P$20,IF(AND($G37="Minor",$I37="No",$O37="SB"),'Point Schedule'!$O$20,0))))</f>
        <v>0</v>
      </c>
      <c r="AA37" s="128">
        <f>IF(AND($G37="Major",$I37="No",$H37="Specialty",$O37="JAM"),'Point Schedule'!$P$20,IF(AND($G37="Minor",$I37="No",$H37="Nat'l Spec",$O37="JAM"),'Point Schedule'!$O$20,IF(AND($G37="Minor",$I37="No",$H37="Non-Spec",$O37="JAM"),'Point Schedule'!$O$20,IF(AND($G37="Minor",$I37="No",$H37="Specialty",$O37="JAM"),'Point Schedule'!$O$20,IF(AND($G37="Major",$H37="Nat'l Spec",$I37="No",$O37="JAM"),'Point Schedule'!$O$21,IF(AND($G37="Major",$I37="No",$H37="Non-Spec",$O37="JAM"),'Point Schedule'!$P$20,0))))))</f>
        <v>0</v>
      </c>
      <c r="AB37" s="128">
        <f>IF(AND(Q37="1st",$O37="BOB",$H37="Non-Spec"), 'Point Schedule'!$O$5, IF(AND(Q37="2nd",$O37="BOB",$H37="Non-Spec"),'Point Schedule'!$O$6, IF(AND(Q37="3rd",$O37="BOB",$H37="Non-Spec"), 'Point Schedule'!$O$7, IF(AND(Q37="4th",$O37="BOB",$H37="Non-Spec"), 'Point Schedule'!$O$8,0))))</f>
        <v>0</v>
      </c>
      <c r="AC37" s="128">
        <f>IF(AND(R37="BIS",$Q37="1st"),'Point Schedule'!$O$4,0)</f>
        <v>0</v>
      </c>
      <c r="AD37" s="128">
        <f>IF(AND($H37="Nat'l Spec",$I37="No",$K37="1st",'Tabulation Sheet'!$AI28=0,$G37="Major"),'Point Schedule'!$W$26,IF(AND($H37="Nat'l Spec",$I37="No",'Tabulation Sheet'!$AI28=0,$K37="1st",$G37="Minor"),'Point Schedule'!$V$26,IF(AND($H37="Specialty",$I37="No",'Tabulation Sheet'!$AI28=0,$K37="1st",$G37="Major"),'Point Schedule'!$O$15,IF(AND($H37="Specialty",$I37="No",'Tabulation Sheet'!$AI28=0,$K37="1st",$G37="Minor"),'Point Schedule'!$O$15,0))))</f>
        <v>0</v>
      </c>
      <c r="AE37" s="129">
        <f>IF(AND(H37="Nat'l Spec",L37="WD"),'Point Schedule'!$O$19,IF(AND(H37="Nat'l Spec",L37="WB"),'Point Schedule'!$O$19,0))</f>
        <v>0</v>
      </c>
      <c r="AF37" s="128">
        <f>IF(AND($H37="Nat'l Spec",$K37="1st",I37="Yes"),'Point Schedule'!$V$18,IF(AND($H37="Specialty",$K37="1st",I37="Yes"),'Point Schedule'!$V$15,0))</f>
        <v>0</v>
      </c>
      <c r="AG37" s="128">
        <f>IF(AND($H37="Nat'l Spec",$S37="BIS",$I37="Yes"),'Point Schedule'!$V$19,IF(AND($H37="Specialty",$S37="BIS",$I37="Yes"),'Point Schedule'!$V$16,0))</f>
        <v>0</v>
      </c>
      <c r="AH37" s="128">
        <f>IF(AND($H37="Nat'l Spec",$T37="BOSS",I37="Yes"),'Point Schedule'!$V$20,IF(AND($H37="Specialty",$T37="BOSS",$I37="Yes"),'Point Schedule'!$V$17,0))</f>
        <v>0</v>
      </c>
      <c r="AI37" s="115">
        <f t="shared" si="0"/>
        <v>0</v>
      </c>
      <c r="AJ37" s="115">
        <f>IF(AND($J37="Pro",'Tabulation Sheet'!$AB$46=0),SUM($U37:$AH37),0)</f>
        <v>0</v>
      </c>
      <c r="AK37" s="116">
        <f>IF('Tabulation Sheet'!$AI28=0,SUM($AF37:$AH37),0)</f>
        <v>0</v>
      </c>
      <c r="AL37" s="761"/>
    </row>
    <row r="38" spans="1:38" ht="20.149999999999999" customHeight="1" x14ac:dyDescent="0.7">
      <c r="A38" s="387"/>
      <c r="B38" s="265"/>
      <c r="C38" s="716"/>
      <c r="D38" s="717"/>
      <c r="E38" s="718"/>
      <c r="F38" s="264"/>
      <c r="G38" s="264"/>
      <c r="H38" s="264"/>
      <c r="I38" s="264"/>
      <c r="J38" s="264"/>
      <c r="K38" s="264"/>
      <c r="L38" s="264"/>
      <c r="M38" s="264"/>
      <c r="N38" s="264"/>
      <c r="O38" s="264"/>
      <c r="P38" s="264"/>
      <c r="Q38" s="264"/>
      <c r="R38" s="264"/>
      <c r="S38" s="264"/>
      <c r="T38" s="264"/>
      <c r="U38" s="128">
        <f>IF(AND($G38="Major",$I38="No",$L38="WD"),'Point Schedule'!$P$12,IF(AND($G38="Minor",$I38="No",$L38="WD"),'Point Schedule'!$O$12,IF(AND(G38="Major",$I38="No",L38="WB"),'Point Schedule'!$P$12,IF(AND(G38="Minor",$I38="No",L38="WB"),'Point Schedule'!$O$12,0))))</f>
        <v>0</v>
      </c>
      <c r="V38" s="128">
        <f>IF(AND(G38="Major",$I38="No",M38="Reserve"),'Point Schedule'!$O$14,0)</f>
        <v>0</v>
      </c>
      <c r="W38" s="128">
        <f>IF(AND(G38="Major",$I38="No",N38="BOW"),'Point Schedule'!$P$13,IF(AND(G38="Minor",$I38="No",N38="BOW"),'Point Schedule'!$O$13,0))</f>
        <v>0</v>
      </c>
      <c r="X38" s="128">
        <f>IF(AND($G38="Major",$O38="BOB",$H38="Nat'l Spec"),'Point Schedule'!$O$17,IF(AND($G38="Minor",$O38="BOB",$H38="Nat'l Spec"),'Point Schedule'!$O$17,IF(AND($G38="Major",$O38="BOB",$H38="Specialty"),'Point Schedule'!$P$10,IF(AND($G38="Minor",$O38="BOB",$H38="Specialty"),'Point Schedule'!$O$10,IF(AND($G38="Minor",$O38="BOB",$H38="Spec"),'Point Schedule'!$O$10,IF(AND($G38="Major",$O38="BOB",$H38="Non-Spec"),'Point Schedule'!$P$10,IF(AND($G38="Minor",$O38="BOB",$H38="Non-Spec"),'Point Schedule'!$O$10,0)))))))</f>
        <v>0</v>
      </c>
      <c r="Y38" s="128">
        <f>IF(AND($G38="Major",$P38="BOS",$H38="Nat'l Spec"),'Point Schedule'!$O$18,IF(AND($G38="Minor",$P38="BOS",$H38="Nat'l Spec"),'Point Schedule'!$O$18,IF(AND($G38="Major",$P38="BOS",$H38="Specialty"),'Point Schedule'!$P$10,IF(AND($G38="Minor",$P38="BOS",$H38="Specialty"),'Point Schedule'!$O$10,IF(AND($G38="Minor",$P38="BOS",$H38="Spec"),'Point Schedule'!$O$10,IF(AND($G38="Major",$P38="BOS",$H38="Non-Spec"),'Point Schedule'!$P$10,IF(AND($G38="Minor",$P38="BOS",$H38="Non-Spec"),'Point Schedule'!$O$10,0)))))))</f>
        <v>0</v>
      </c>
      <c r="Z38" s="128">
        <f>IF(AND($G38="Major",$I38="No",$O38="SD"),'Point Schedule'!$P$20,IF(AND($G38="Minor",$I38="No",$O38="SD"),'Point Schedule'!$O$20,IF(AND($G38="Major",$I38="No",$O38="SB"),'Point Schedule'!$P$20,IF(AND($G38="Minor",$I38="No",$O38="SB"),'Point Schedule'!$O$20,0))))</f>
        <v>0</v>
      </c>
      <c r="AA38" s="128">
        <f>IF(AND($G38="Major",$I38="No",$H38="Specialty",$O38="JAM"),'Point Schedule'!$P$20,IF(AND($G38="Minor",$I38="No",$H38="Nat'l Spec",$O38="JAM"),'Point Schedule'!$O$20,IF(AND($G38="Minor",$I38="No",$H38="Non-Spec",$O38="JAM"),'Point Schedule'!$O$20,IF(AND($G38="Minor",$I38="No",$H38="Specialty",$O38="JAM"),'Point Schedule'!$O$20,IF(AND($G38="Major",$H38="Nat'l Spec",$I38="No",$O38="JAM"),'Point Schedule'!$O$21,IF(AND($G38="Major",$I38="No",$H38="Non-Spec",$O38="JAM"),'Point Schedule'!$P$20,0))))))</f>
        <v>0</v>
      </c>
      <c r="AB38" s="128">
        <f>IF(AND(Q38="1st",$O38="BOB",$H38="Non-Spec"), 'Point Schedule'!$O$5, IF(AND(Q38="2nd",$O38="BOB",$H38="Non-Spec"),'Point Schedule'!$O$6, IF(AND(Q38="3rd",$O38="BOB",$H38="Non-Spec"), 'Point Schedule'!$O$7, IF(AND(Q38="4th",$O38="BOB",$H38="Non-Spec"), 'Point Schedule'!$O$8,0))))</f>
        <v>0</v>
      </c>
      <c r="AC38" s="128">
        <f>IF(AND(R38="BIS",$Q38="1st"),'Point Schedule'!$O$4,0)</f>
        <v>0</v>
      </c>
      <c r="AD38" s="128">
        <f>IF(AND($H38="Nat'l Spec",$I38="No",$K38="1st",'Tabulation Sheet'!$AI29=0,$G38="Major"),'Point Schedule'!$W$26,IF(AND($H38="Nat'l Spec",$I38="No",'Tabulation Sheet'!$AI29=0,$K38="1st",$G38="Minor"),'Point Schedule'!$V$26,IF(AND($H38="Specialty",$I38="No",'Tabulation Sheet'!$AI29=0,$K38="1st",$G38="Major"),'Point Schedule'!$O$15,IF(AND($H38="Specialty",$I38="No",'Tabulation Sheet'!$AI29=0,$K38="1st",$G38="Minor"),'Point Schedule'!$O$15,0))))</f>
        <v>0</v>
      </c>
      <c r="AE38" s="129">
        <f>IF(AND(H38="Nat'l Spec",L38="WD"),'Point Schedule'!$O$19,IF(AND(H38="Nat'l Spec",L38="WB"),'Point Schedule'!$O$19,0))</f>
        <v>0</v>
      </c>
      <c r="AF38" s="128">
        <f>IF(AND($H38="Nat'l Spec",$K38="1st",I38="Yes"),'Point Schedule'!$V$18,IF(AND($H38="Specialty",$K38="1st",I38="Yes"),'Point Schedule'!$V$15,0))</f>
        <v>0</v>
      </c>
      <c r="AG38" s="128">
        <f>IF(AND($H38="Nat'l Spec",$S38="BIS",$I38="Yes"),'Point Schedule'!$V$19,IF(AND($H38="Specialty",$S38="BIS",$I38="Yes"),'Point Schedule'!$V$16,0))</f>
        <v>0</v>
      </c>
      <c r="AH38" s="128">
        <f>IF(AND($H38="Nat'l Spec",$T38="BOSS",I38="Yes"),'Point Schedule'!$V$20,IF(AND($H38="Specialty",$T38="BOSS",$I38="Yes"),'Point Schedule'!$V$17,0))</f>
        <v>0</v>
      </c>
      <c r="AI38" s="115">
        <f t="shared" si="0"/>
        <v>0</v>
      </c>
      <c r="AJ38" s="115">
        <f>IF(AND($J38="Pro",'Tabulation Sheet'!$AC$46=0),SUM($U38:$AH38),0)</f>
        <v>0</v>
      </c>
      <c r="AK38" s="116">
        <f>IF('Tabulation Sheet'!$AI29=0,SUM($AF38:$AH38),0)</f>
        <v>0</v>
      </c>
      <c r="AL38" s="761"/>
    </row>
    <row r="39" spans="1:38" ht="20.149999999999999" customHeight="1" x14ac:dyDescent="0.7">
      <c r="A39" s="387"/>
      <c r="B39" s="265"/>
      <c r="C39" s="716"/>
      <c r="D39" s="717"/>
      <c r="E39" s="718"/>
      <c r="F39" s="264"/>
      <c r="G39" s="264"/>
      <c r="H39" s="264"/>
      <c r="I39" s="264"/>
      <c r="J39" s="264"/>
      <c r="K39" s="264"/>
      <c r="L39" s="264"/>
      <c r="M39" s="264"/>
      <c r="N39" s="264"/>
      <c r="O39" s="264"/>
      <c r="P39" s="264"/>
      <c r="Q39" s="264"/>
      <c r="R39" s="264"/>
      <c r="S39" s="264"/>
      <c r="T39" s="264"/>
      <c r="U39" s="128">
        <f>IF(AND($G39="Major",$I39="No",$L39="WD"),'Point Schedule'!$P$12,IF(AND($G39="Minor",$I39="No",$L39="WD"),'Point Schedule'!$O$12,IF(AND(G39="Major",$I39="No",L39="WB"),'Point Schedule'!$P$12,IF(AND(G39="Minor",$I39="No",L39="WB"),'Point Schedule'!$O$12,0))))</f>
        <v>0</v>
      </c>
      <c r="V39" s="128">
        <f>IF(AND(G39="Major",$I39="No",M39="Reserve"),'Point Schedule'!$O$14,0)</f>
        <v>0</v>
      </c>
      <c r="W39" s="128">
        <f>IF(AND(G39="Major",$I39="No",N39="BOW"),'Point Schedule'!$P$13,IF(AND(G39="Minor",$I39="No",N39="BOW"),'Point Schedule'!$O$13,0))</f>
        <v>0</v>
      </c>
      <c r="X39" s="128">
        <f>IF(AND($G39="Major",$O39="BOB",$H39="Nat'l Spec"),'Point Schedule'!$O$17,IF(AND($G39="Minor",$O39="BOB",$H39="Nat'l Spec"),'Point Schedule'!$O$17,IF(AND($G39="Major",$O39="BOB",$H39="Specialty"),'Point Schedule'!$P$10,IF(AND($G39="Minor",$O39="BOB",$H39="Specialty"),'Point Schedule'!$O$10,IF(AND($G39="Minor",$O39="BOB",$H39="Spec"),'Point Schedule'!$O$10,IF(AND($G39="Major",$O39="BOB",$H39="Non-Spec"),'Point Schedule'!$P$10,IF(AND($G39="Minor",$O39="BOB",$H39="Non-Spec"),'Point Schedule'!$O$10,0)))))))</f>
        <v>0</v>
      </c>
      <c r="Y39" s="128">
        <f>IF(AND($G39="Major",$P39="BOS",$H39="Nat'l Spec"),'Point Schedule'!$O$18,IF(AND($G39="Minor",$P39="BOS",$H39="Nat'l Spec"),'Point Schedule'!$O$18,IF(AND($G39="Major",$P39="BOS",$H39="Specialty"),'Point Schedule'!$P$10,IF(AND($G39="Minor",$P39="BOS",$H39="Specialty"),'Point Schedule'!$O$10,IF(AND($G39="Minor",$P39="BOS",$H39="Spec"),'Point Schedule'!$O$10,IF(AND($G39="Major",$P39="BOS",$H39="Non-Spec"),'Point Schedule'!$P$10,IF(AND($G39="Minor",$P39="BOS",$H39="Non-Spec"),'Point Schedule'!$O$10,0)))))))</f>
        <v>0</v>
      </c>
      <c r="Z39" s="128">
        <f>IF(AND($G39="Major",$I39="No",$O39="SD"),'Point Schedule'!$P$20,IF(AND($G39="Minor",$I39="No",$O39="SD"),'Point Schedule'!$O$20,IF(AND($G39="Major",$I39="No",$O39="SB"),'Point Schedule'!$P$20,IF(AND($G39="Minor",$I39="No",$O39="SB"),'Point Schedule'!$O$20,0))))</f>
        <v>0</v>
      </c>
      <c r="AA39" s="128">
        <f>IF(AND($G39="Major",$I39="No",$H39="Specialty",$O39="JAM"),'Point Schedule'!$P$20,IF(AND($G39="Minor",$I39="No",$H39="Nat'l Spec",$O39="JAM"),'Point Schedule'!$O$20,IF(AND($G39="Minor",$I39="No",$H39="Non-Spec",$O39="JAM"),'Point Schedule'!$O$20,IF(AND($G39="Minor",$I39="No",$H39="Specialty",$O39="JAM"),'Point Schedule'!$O$20,IF(AND($G39="Major",$H39="Nat'l Spec",$I39="No",$O39="JAM"),'Point Schedule'!$O$21,IF(AND($G39="Major",$I39="No",$H39="Non-Spec",$O39="JAM"),'Point Schedule'!$P$20,0))))))</f>
        <v>0</v>
      </c>
      <c r="AB39" s="128">
        <f>IF(AND(Q39="1st",$O39="BOB",$H39="Non-Spec"), 'Point Schedule'!$O$5, IF(AND(Q39="2nd",$O39="BOB",$H39="Non-Spec"),'Point Schedule'!$O$6, IF(AND(Q39="3rd",$O39="BOB",$H39="Non-Spec"), 'Point Schedule'!$O$7, IF(AND(Q39="4th",$O39="BOB",$H39="Non-Spec"), 'Point Schedule'!$O$8,0))))</f>
        <v>0</v>
      </c>
      <c r="AC39" s="128">
        <f>IF(AND(R39="BIS",$Q39="1st"),'Point Schedule'!$O$4,0)</f>
        <v>0</v>
      </c>
      <c r="AD39" s="128">
        <f>IF(AND($H39="Nat'l Spec",$I39="No",$K39="1st",'Tabulation Sheet'!$AI30=0,$G39="Major"),'Point Schedule'!$W$26,IF(AND($H39="Nat'l Spec",$I39="No",'Tabulation Sheet'!$AI30=0,$K39="1st",$G39="Minor"),'Point Schedule'!$V$26,IF(AND($H39="Specialty",$I39="No",'Tabulation Sheet'!$AI30=0,$K39="1st",$G39="Major"),'Point Schedule'!$O$15,IF(AND($H39="Specialty",$I39="No",'Tabulation Sheet'!$AI30=0,$K39="1st",$G39="Minor"),'Point Schedule'!$O$15,0))))</f>
        <v>0</v>
      </c>
      <c r="AE39" s="129">
        <f>IF(AND(H39="Nat'l Spec",L39="WD"),'Point Schedule'!$O$19,IF(AND(H39="Nat'l Spec",L39="WB"),'Point Schedule'!$O$19,0))</f>
        <v>0</v>
      </c>
      <c r="AF39" s="128">
        <f>IF(AND($H39="Nat'l Spec",$K39="1st",I39="Yes"),'Point Schedule'!$V$18,IF(AND($H39="Specialty",$K39="1st",I39="Yes"),'Point Schedule'!$V$15,0))</f>
        <v>0</v>
      </c>
      <c r="AG39" s="128">
        <f>IF(AND($H39="Nat'l Spec",$S39="BIS",$I39="Yes"),'Point Schedule'!$V$19,IF(AND($H39="Specialty",$S39="BIS",$I39="Yes"),'Point Schedule'!$V$16,0))</f>
        <v>0</v>
      </c>
      <c r="AH39" s="128">
        <f>IF(AND($H39="Nat'l Spec",$T39="BOSS",I39="Yes"),'Point Schedule'!$V$20,IF(AND($H39="Specialty",$T39="BOSS",$I39="Yes"),'Point Schedule'!$V$17,0))</f>
        <v>0</v>
      </c>
      <c r="AI39" s="115">
        <f t="shared" si="0"/>
        <v>0</v>
      </c>
      <c r="AJ39" s="115">
        <f>IF(AND($J39="Pro",'Tabulation Sheet'!$AC$46=0),SUM($U39:$AH39),0)</f>
        <v>0</v>
      </c>
      <c r="AK39" s="116">
        <f>IF('Tabulation Sheet'!$AI30=0,SUM($AF39:$AH39),0)</f>
        <v>0</v>
      </c>
      <c r="AL39" s="761"/>
    </row>
    <row r="40" spans="1:38" ht="20.149999999999999" customHeight="1" x14ac:dyDescent="0.7">
      <c r="A40" s="387"/>
      <c r="B40" s="265"/>
      <c r="C40" s="716"/>
      <c r="D40" s="717"/>
      <c r="E40" s="718"/>
      <c r="F40" s="264"/>
      <c r="G40" s="264"/>
      <c r="H40" s="264"/>
      <c r="I40" s="264"/>
      <c r="J40" s="264"/>
      <c r="K40" s="264"/>
      <c r="L40" s="264"/>
      <c r="M40" s="264"/>
      <c r="N40" s="264"/>
      <c r="O40" s="264"/>
      <c r="P40" s="264"/>
      <c r="Q40" s="264"/>
      <c r="R40" s="264"/>
      <c r="S40" s="264"/>
      <c r="T40" s="264"/>
      <c r="U40" s="128">
        <f>IF(AND($G40="Major",$I40="No",$L40="WD"),'Point Schedule'!$P$12,IF(AND($G40="Minor",$I40="No",$L40="WD"),'Point Schedule'!$O$12,IF(AND(G40="Major",$I40="No",L40="WB"),'Point Schedule'!$P$12,IF(AND(G40="Minor",$I40="No",L40="WB"),'Point Schedule'!$O$12,0))))</f>
        <v>0</v>
      </c>
      <c r="V40" s="128">
        <f>IF(AND(G40="Major",$I40="No",M40="Reserve"),'Point Schedule'!$O$14,0)</f>
        <v>0</v>
      </c>
      <c r="W40" s="128">
        <f>IF(AND(G40="Major",$I40="No",N40="BOW"),'Point Schedule'!$P$13,IF(AND(G40="Minor",$I40="No",N40="BOW"),'Point Schedule'!$O$13,0))</f>
        <v>0</v>
      </c>
      <c r="X40" s="128">
        <f>IF(AND($G40="Major",$O40="BOB",$H40="Nat'l Spec"),'Point Schedule'!$O$17,IF(AND($G40="Minor",$O40="BOB",$H40="Nat'l Spec"),'Point Schedule'!$O$17,IF(AND($G40="Major",$O40="BOB",$H40="Specialty"),'Point Schedule'!$P$10,IF(AND($G40="Minor",$O40="BOB",$H40="Specialty"),'Point Schedule'!$O$10,IF(AND($G40="Minor",$O40="BOB",$H40="Spec"),'Point Schedule'!$O$10,IF(AND($G40="Major",$O40="BOB",$H40="Non-Spec"),'Point Schedule'!$P$10,IF(AND($G40="Minor",$O40="BOB",$H40="Non-Spec"),'Point Schedule'!$O$10,0)))))))</f>
        <v>0</v>
      </c>
      <c r="Y40" s="128">
        <f>IF(AND($G40="Major",$P40="BOS",$H40="Nat'l Spec"),'Point Schedule'!$O$18,IF(AND($G40="Minor",$P40="BOS",$H40="Nat'l Spec"),'Point Schedule'!$O$18,IF(AND($G40="Major",$P40="BOS",$H40="Specialty"),'Point Schedule'!$P$10,IF(AND($G40="Minor",$P40="BOS",$H40="Specialty"),'Point Schedule'!$O$10,IF(AND($G40="Minor",$P40="BOS",$H40="Spec"),'Point Schedule'!$O$10,IF(AND($G40="Major",$P40="BOS",$H40="Non-Spec"),'Point Schedule'!$P$10,IF(AND($G40="Minor",$P40="BOS",$H40="Non-Spec"),'Point Schedule'!$O$10,0)))))))</f>
        <v>0</v>
      </c>
      <c r="Z40" s="128">
        <f>IF(AND($G40="Major",$I40="No",$O40="SD"),'Point Schedule'!$P$20,IF(AND($G40="Minor",$I40="No",$O40="SD"),'Point Schedule'!$O$20,IF(AND($G40="Major",$I40="No",$O40="SB"),'Point Schedule'!$P$20,IF(AND($G40="Minor",$I40="No",$O40="SB"),'Point Schedule'!$O$20,0))))</f>
        <v>0</v>
      </c>
      <c r="AA40" s="128">
        <f>IF(AND($G40="Major",$I40="No",$H40="Specialty",$O40="JAM"),'Point Schedule'!$P$20,IF(AND($G40="Minor",$I40="No",$H40="Nat'l Spec",$O40="JAM"),'Point Schedule'!$O$20,IF(AND($G40="Minor",$I40="No",$H40="Non-Spec",$O40="JAM"),'Point Schedule'!$O$20,IF(AND($G40="Minor",$I40="No",$H40="Specialty",$O40="JAM"),'Point Schedule'!$O$20,IF(AND($G40="Major",$H40="Nat'l Spec",$I40="No",$O40="JAM"),'Point Schedule'!$O$21,IF(AND($G40="Major",$I40="No",$H40="Non-Spec",$O40="JAM"),'Point Schedule'!$P$20,0))))))</f>
        <v>0</v>
      </c>
      <c r="AB40" s="128">
        <f>IF(AND(Q40="1st",$O40="BOB",$H40="Non-Spec"), 'Point Schedule'!$O$5, IF(AND(Q40="2nd",$O40="BOB",$H40="Non-Spec"),'Point Schedule'!$O$6, IF(AND(Q40="3rd",$O40="BOB",$H40="Non-Spec"), 'Point Schedule'!$O$7, IF(AND(Q40="4th",$O40="BOB",$H40="Non-Spec"), 'Point Schedule'!$O$8,0))))</f>
        <v>0</v>
      </c>
      <c r="AC40" s="128">
        <f>IF(AND(R40="BIS",$Q40="1st"),'Point Schedule'!$O$4,0)</f>
        <v>0</v>
      </c>
      <c r="AD40" s="128">
        <f>IF(AND($H40="Nat'l Spec",$I40="No",$K40="1st",'Tabulation Sheet'!$AI31=0,$G40="Major"),'Point Schedule'!$W$26,IF(AND($H40="Nat'l Spec",$I40="No",'Tabulation Sheet'!$AI31=0,$K40="1st",$G40="Minor"),'Point Schedule'!$V$26,IF(AND($H40="Specialty",$I40="No",'Tabulation Sheet'!$AI31=0,$K40="1st",$G40="Major"),'Point Schedule'!$O$15,IF(AND($H40="Specialty",$I40="No",'Tabulation Sheet'!$AI31=0,$K40="1st",$G40="Minor"),'Point Schedule'!$O$15,0))))</f>
        <v>0</v>
      </c>
      <c r="AE40" s="129">
        <f>IF(AND(H40="Nat'l Spec",L40="WD"),'Point Schedule'!$O$19,IF(AND(H40="Nat'l Spec",L40="WB"),'Point Schedule'!$O$19,0))</f>
        <v>0</v>
      </c>
      <c r="AF40" s="128">
        <f>IF(AND($H40="Nat'l Spec",$K40="1st",I40="Yes"),'Point Schedule'!$V$18,IF(AND($H40="Specialty",$K40="1st",I40="Yes"),'Point Schedule'!$V$15,0))</f>
        <v>0</v>
      </c>
      <c r="AG40" s="128">
        <f>IF(AND($H40="Nat'l Spec",$S40="BIS",$I40="Yes"),'Point Schedule'!$V$19,IF(AND($H40="Specialty",$S40="BIS",$I40="Yes"),'Point Schedule'!$V$16,0))</f>
        <v>0</v>
      </c>
      <c r="AH40" s="128">
        <f>IF(AND($H40="Nat'l Spec",$T40="BOSS",I40="Yes"),'Point Schedule'!$V$20,IF(AND($H40="Specialty",$T40="BOSS",$I40="Yes"),'Point Schedule'!$V$17,0))</f>
        <v>0</v>
      </c>
      <c r="AI40" s="115">
        <f t="shared" si="0"/>
        <v>0</v>
      </c>
      <c r="AJ40" s="115">
        <f>IF(AND($J40="Pro",'Tabulation Sheet'!$AC$46=0),SUM($U40:$AH40),0)</f>
        <v>0</v>
      </c>
      <c r="AK40" s="116">
        <f>IF('Tabulation Sheet'!$AI31=0,SUM($AF40:$AH40),0)</f>
        <v>0</v>
      </c>
      <c r="AL40" s="761"/>
    </row>
    <row r="41" spans="1:38" ht="20.149999999999999" customHeight="1" x14ac:dyDescent="0.7">
      <c r="A41" s="387"/>
      <c r="B41" s="265"/>
      <c r="C41" s="716"/>
      <c r="D41" s="717"/>
      <c r="E41" s="718"/>
      <c r="F41" s="264"/>
      <c r="G41" s="264"/>
      <c r="H41" s="264"/>
      <c r="I41" s="264"/>
      <c r="J41" s="264"/>
      <c r="K41" s="264"/>
      <c r="L41" s="264"/>
      <c r="M41" s="264"/>
      <c r="N41" s="264"/>
      <c r="O41" s="264"/>
      <c r="P41" s="264"/>
      <c r="Q41" s="264"/>
      <c r="R41" s="264"/>
      <c r="S41" s="264"/>
      <c r="T41" s="264"/>
      <c r="U41" s="128">
        <f>IF(AND($G41="Major",$I41="No",$L41="WD"),'Point Schedule'!$P$12,IF(AND($G41="Minor",$I41="No",$L41="WD"),'Point Schedule'!$O$12,IF(AND(G41="Major",$I41="No",L41="WB"),'Point Schedule'!$P$12,IF(AND(G41="Minor",$I41="No",L41="WB"),'Point Schedule'!$O$12,0))))</f>
        <v>0</v>
      </c>
      <c r="V41" s="128">
        <f>IF(AND(G41="Major",$I41="No",M41="Reserve"),'Point Schedule'!$O$14,0)</f>
        <v>0</v>
      </c>
      <c r="W41" s="128">
        <f>IF(AND(G41="Major",$I41="No",N41="BOW"),'Point Schedule'!$P$13,IF(AND(G41="Minor",$I41="No",N41="BOW"),'Point Schedule'!$O$13,0))</f>
        <v>0</v>
      </c>
      <c r="X41" s="128">
        <f>IF(AND($G41="Major",$O41="BOB",$H41="Nat'l Spec"),'Point Schedule'!$O$17,IF(AND($G41="Minor",$O41="BOB",$H41="Nat'l Spec"),'Point Schedule'!$O$17,IF(AND($G41="Major",$O41="BOB",$H41="Specialty"),'Point Schedule'!$P$10,IF(AND($G41="Minor",$O41="BOB",$H41="Specialty"),'Point Schedule'!$O$10,IF(AND($G41="Minor",$O41="BOB",$H41="Spec"),'Point Schedule'!$O$10,IF(AND($G41="Major",$O41="BOB",$H41="Non-Spec"),'Point Schedule'!$P$10,IF(AND($G41="Minor",$O41="BOB",$H41="Non-Spec"),'Point Schedule'!$O$10,0)))))))</f>
        <v>0</v>
      </c>
      <c r="Y41" s="128">
        <f>IF(AND($G41="Major",$P41="BOS",$H41="Nat'l Spec"),'Point Schedule'!$O$18,IF(AND($G41="Minor",$P41="BOS",$H41="Nat'l Spec"),'Point Schedule'!$O$18,IF(AND($G41="Major",$P41="BOS",$H41="Specialty"),'Point Schedule'!$P$10,IF(AND($G41="Minor",$P41="BOS",$H41="Specialty"),'Point Schedule'!$O$10,IF(AND($G41="Minor",$P41="BOS",$H41="Spec"),'Point Schedule'!$O$10,IF(AND($G41="Major",$P41="BOS",$H41="Non-Spec"),'Point Schedule'!$P$10,IF(AND($G41="Minor",$P41="BOS",$H41="Non-Spec"),'Point Schedule'!$O$10,0)))))))</f>
        <v>0</v>
      </c>
      <c r="Z41" s="128">
        <f>IF(AND($G41="Major",$I41="No",$O41="SD"),'Point Schedule'!$P$20,IF(AND($G41="Minor",$I41="No",$O41="SD"),'Point Schedule'!$O$20,IF(AND($G41="Major",$I41="No",$O41="SB"),'Point Schedule'!$P$20,IF(AND($G41="Minor",$I41="No",$O41="SB"),'Point Schedule'!$O$20,0))))</f>
        <v>0</v>
      </c>
      <c r="AA41" s="128">
        <f>IF(AND($G41="Major",$I41="No",$H41="Specialty",$O41="JAM"),'Point Schedule'!$P$20,IF(AND($G41="Minor",$I41="No",$H41="Nat'l Spec",$O41="JAM"),'Point Schedule'!$O$20,IF(AND($G41="Minor",$I41="No",$H41="Non-Spec",$O41="JAM"),'Point Schedule'!$O$20,IF(AND($G41="Minor",$I41="No",$H41="Specialty",$O41="JAM"),'Point Schedule'!$O$20,IF(AND($G41="Major",$H41="Nat'l Spec",$I41="No",$O41="JAM"),'Point Schedule'!$O$21,IF(AND($G41="Major",$I41="No",$H41="Non-Spec",$O41="JAM"),'Point Schedule'!$P$20,0))))))</f>
        <v>0</v>
      </c>
      <c r="AB41" s="128">
        <f>IF(AND(Q41="1st",$O41="BOB",$H41="Non-Spec"), 'Point Schedule'!$O$5, IF(AND(Q41="2nd",$O41="BOB",$H41="Non-Spec"),'Point Schedule'!$O$6, IF(AND(Q41="3rd",$O41="BOB",$H41="Non-Spec"), 'Point Schedule'!$O$7, IF(AND(Q41="4th",$O41="BOB",$H41="Non-Spec"), 'Point Schedule'!$O$8,0))))</f>
        <v>0</v>
      </c>
      <c r="AC41" s="128">
        <f>IF(AND(R41="BIS",$Q41="1st"),'Point Schedule'!$O$4,0)</f>
        <v>0</v>
      </c>
      <c r="AD41" s="128">
        <f>IF(AND($H41="Nat'l Spec",$I41="No",$K41="1st",'Tabulation Sheet'!$AI32=0,$G41="Major"),'Point Schedule'!$W$26,IF(AND($H41="Nat'l Spec",$I41="No",'Tabulation Sheet'!$AI32=0,$K41="1st",$G41="Minor"),'Point Schedule'!$V$26,IF(AND($H41="Specialty",$I41="No",'Tabulation Sheet'!$AI32=0,$K41="1st",$G41="Major"),'Point Schedule'!$O$15,IF(AND($H41="Specialty",$I41="No",'Tabulation Sheet'!$AI32=0,$K41="1st",$G41="Minor"),'Point Schedule'!$O$15,0))))</f>
        <v>0</v>
      </c>
      <c r="AE41" s="129">
        <f>IF(AND(H41="Nat'l Spec",L41="WD"),'Point Schedule'!$O$19,IF(AND(H41="Nat'l Spec",L41="WB"),'Point Schedule'!$O$19,0))</f>
        <v>0</v>
      </c>
      <c r="AF41" s="128">
        <f>IF(AND($H41="Nat'l Spec",$K41="1st",I41="Yes"),'Point Schedule'!$V$18,IF(AND($H41="Specialty",$K41="1st",I41="Yes"),'Point Schedule'!$V$15,0))</f>
        <v>0</v>
      </c>
      <c r="AG41" s="128">
        <f>IF(AND($H41="Nat'l Spec",$S41="BIS",$I41="Yes"),'Point Schedule'!$V$19,IF(AND($H41="Specialty",$S41="BIS",$I41="Yes"),'Point Schedule'!$V$16,0))</f>
        <v>0</v>
      </c>
      <c r="AH41" s="128">
        <f>IF(AND($H41="Nat'l Spec",$T41="BOSS",I41="Yes"),'Point Schedule'!$V$20,IF(AND($H41="Specialty",$T41="BOSS",$I41="Yes"),'Point Schedule'!$V$17,0))</f>
        <v>0</v>
      </c>
      <c r="AI41" s="115">
        <f t="shared" si="0"/>
        <v>0</v>
      </c>
      <c r="AJ41" s="115">
        <f>IF(AND($J41="Pro",'Tabulation Sheet'!$AC$46=0),SUM($U41:$AH41),0)</f>
        <v>0</v>
      </c>
      <c r="AK41" s="116">
        <f>IF('Tabulation Sheet'!$AI32=0,SUM($AF41:$AH41),0)</f>
        <v>0</v>
      </c>
      <c r="AL41" s="761"/>
    </row>
    <row r="42" spans="1:38" ht="20.149999999999999" customHeight="1" x14ac:dyDescent="0.7">
      <c r="A42" s="387"/>
      <c r="B42" s="265"/>
      <c r="C42" s="716"/>
      <c r="D42" s="717"/>
      <c r="E42" s="718"/>
      <c r="F42" s="264"/>
      <c r="G42" s="264"/>
      <c r="H42" s="264"/>
      <c r="I42" s="264"/>
      <c r="J42" s="264"/>
      <c r="K42" s="264"/>
      <c r="L42" s="264"/>
      <c r="M42" s="264"/>
      <c r="N42" s="264"/>
      <c r="O42" s="264"/>
      <c r="P42" s="264"/>
      <c r="Q42" s="264"/>
      <c r="R42" s="264"/>
      <c r="S42" s="264"/>
      <c r="T42" s="264"/>
      <c r="U42" s="128">
        <f>IF(AND($G42="Major",$I42="No",$L42="WD"),'Point Schedule'!$P$12,IF(AND($G42="Minor",$I42="No",$L42="WD"),'Point Schedule'!$O$12,IF(AND(G42="Major",$I42="No",L42="WB"),'Point Schedule'!$P$12,IF(AND(G42="Minor",$I42="No",L42="WB"),'Point Schedule'!$O$12,0))))</f>
        <v>0</v>
      </c>
      <c r="V42" s="128">
        <f>IF(AND(G42="Major",$I42="No",M42="Reserve"),'Point Schedule'!$O$14,0)</f>
        <v>0</v>
      </c>
      <c r="W42" s="128">
        <f>IF(AND(G42="Major",$I42="No",N42="BOW"),'Point Schedule'!$P$13,IF(AND(G42="Minor",$I42="No",N42="BOW"),'Point Schedule'!$O$13,0))</f>
        <v>0</v>
      </c>
      <c r="X42" s="128">
        <f>IF(AND($G42="Major",$O42="BOB",$H42="Nat'l Spec"),'Point Schedule'!$O$17,IF(AND($G42="Minor",$O42="BOB",$H42="Nat'l Spec"),'Point Schedule'!$O$17,IF(AND($G42="Major",$O42="BOB",$H42="Specialty"),'Point Schedule'!$P$10,IF(AND($G42="Minor",$O42="BOB",$H42="Specialty"),'Point Schedule'!$O$10,IF(AND($G42="Minor",$O42="BOB",$H42="Spec"),'Point Schedule'!$O$10,IF(AND($G42="Major",$O42="BOB",$H42="Non-Spec"),'Point Schedule'!$P$10,IF(AND($G42="Minor",$O42="BOB",$H42="Non-Spec"),'Point Schedule'!$O$10,0)))))))</f>
        <v>0</v>
      </c>
      <c r="Y42" s="128">
        <f>IF(AND($G42="Major",$P42="BOS",$H42="Nat'l Spec"),'Point Schedule'!$O$18,IF(AND($G42="Minor",$P42="BOS",$H42="Nat'l Spec"),'Point Schedule'!$O$18,IF(AND($G42="Major",$P42="BOS",$H42="Specialty"),'Point Schedule'!$P$10,IF(AND($G42="Minor",$P42="BOS",$H42="Specialty"),'Point Schedule'!$O$10,IF(AND($G42="Minor",$P42="BOS",$H42="Spec"),'Point Schedule'!$O$10,IF(AND($G42="Major",$P42="BOS",$H42="Non-Spec"),'Point Schedule'!$P$10,IF(AND($G42="Minor",$P42="BOS",$H42="Non-Spec"),'Point Schedule'!$O$10,0)))))))</f>
        <v>0</v>
      </c>
      <c r="Z42" s="128">
        <f>IF(AND($G42="Major",$I42="No",$O42="SD"),'Point Schedule'!$P$20,IF(AND($G42="Minor",$I42="No",$O42="SD"),'Point Schedule'!$O$20,IF(AND($G42="Major",$I42="No",$O42="SB"),'Point Schedule'!$P$20,IF(AND($G42="Minor",$I42="No",$O42="SB"),'Point Schedule'!$O$20,0))))</f>
        <v>0</v>
      </c>
      <c r="AA42" s="128">
        <f>IF(AND($G42="Major",$I42="No",$H42="Specialty",$O42="JAM"),'Point Schedule'!$P$20,IF(AND($G42="Minor",$I42="No",$H42="Nat'l Spec",$O42="JAM"),'Point Schedule'!$O$20,IF(AND($G42="Minor",$I42="No",$H42="Non-Spec",$O42="JAM"),'Point Schedule'!$O$20,IF(AND($G42="Minor",$I42="No",$H42="Specialty",$O42="JAM"),'Point Schedule'!$O$20,IF(AND($G42="Major",$H42="Nat'l Spec",$I42="No",$O42="JAM"),'Point Schedule'!$O$21,IF(AND($G42="Major",$I42="No",$H42="Non-Spec",$O42="JAM"),'Point Schedule'!$P$20,0))))))</f>
        <v>0</v>
      </c>
      <c r="AB42" s="128">
        <f>IF(AND(Q42="1st",$O42="BOB",$H42="Non-Spec"), 'Point Schedule'!$O$5, IF(AND(Q42="2nd",$O42="BOB",$H42="Non-Spec"),'Point Schedule'!$O$6, IF(AND(Q42="3rd",$O42="BOB",$H42="Non-Spec"), 'Point Schedule'!$O$7, IF(AND(Q42="4th",$O42="BOB",$H42="Non-Spec"), 'Point Schedule'!$O$8,0))))</f>
        <v>0</v>
      </c>
      <c r="AC42" s="128">
        <f>IF(AND(R42="BIS",$Q42="1st"),'Point Schedule'!$O$4,0)</f>
        <v>0</v>
      </c>
      <c r="AD42" s="128">
        <f>IF(AND($H42="Nat'l Spec",$I42="No",$K42="1st",'Tabulation Sheet'!$AI33=0,$G42="Major"),'Point Schedule'!$W$26,IF(AND($H42="Nat'l Spec",$I42="No",'Tabulation Sheet'!$AI33=0,$K42="1st",$G42="Minor"),'Point Schedule'!$V$26,IF(AND($H42="Specialty",$I42="No",'Tabulation Sheet'!$AI33=0,$K42="1st",$G42="Major"),'Point Schedule'!$O$15,IF(AND($H42="Specialty",$I42="No",'Tabulation Sheet'!$AI33=0,$K42="1st",$G42="Minor"),'Point Schedule'!$O$15,0))))</f>
        <v>0</v>
      </c>
      <c r="AE42" s="129">
        <f>IF(AND(H42="Nat'l Spec",L42="WD"),'Point Schedule'!$O$19,IF(AND(H42="Nat'l Spec",L42="WB"),'Point Schedule'!$O$19,0))</f>
        <v>0</v>
      </c>
      <c r="AF42" s="128">
        <f>IF(AND($H42="Nat'l Spec",$K42="1st",I42="Yes"),'Point Schedule'!$V$18,IF(AND($H42="Specialty",$K42="1st",I42="Yes"),'Point Schedule'!$V$15,0))</f>
        <v>0</v>
      </c>
      <c r="AG42" s="128">
        <f>IF(AND($H42="Nat'l Spec",$S42="BIS",$I42="Yes"),'Point Schedule'!$V$19,IF(AND($H42="Specialty",$S42="BIS",$I42="Yes"),'Point Schedule'!$V$16,0))</f>
        <v>0</v>
      </c>
      <c r="AH42" s="128">
        <f>IF(AND($H42="Nat'l Spec",$T42="BOSS",I42="Yes"),'Point Schedule'!$V$20,IF(AND($H42="Specialty",$T42="BOSS",$I42="Yes"),'Point Schedule'!$V$17,0))</f>
        <v>0</v>
      </c>
      <c r="AI42" s="115">
        <f t="shared" si="0"/>
        <v>0</v>
      </c>
      <c r="AJ42" s="115">
        <f>IF(AND($J42="Pro",'Tabulation Sheet'!$AC$46=0),SUM($U42:$AH42),0)</f>
        <v>0</v>
      </c>
      <c r="AK42" s="116">
        <f>IF('Tabulation Sheet'!$AI33=0,SUM($AF42:$AH42),0)</f>
        <v>0</v>
      </c>
      <c r="AL42" s="761"/>
    </row>
    <row r="43" spans="1:38" ht="20.149999999999999" customHeight="1" x14ac:dyDescent="0.7">
      <c r="A43" s="387"/>
      <c r="B43" s="265"/>
      <c r="C43" s="716"/>
      <c r="D43" s="717"/>
      <c r="E43" s="718"/>
      <c r="F43" s="264"/>
      <c r="G43" s="264"/>
      <c r="H43" s="264"/>
      <c r="I43" s="264"/>
      <c r="J43" s="264"/>
      <c r="K43" s="264"/>
      <c r="L43" s="264"/>
      <c r="M43" s="264"/>
      <c r="N43" s="264"/>
      <c r="O43" s="264"/>
      <c r="P43" s="264"/>
      <c r="Q43" s="264"/>
      <c r="R43" s="264"/>
      <c r="S43" s="264"/>
      <c r="T43" s="264"/>
      <c r="U43" s="128">
        <f>IF(AND($G43="Major",$I43="No",$L43="WD"),'Point Schedule'!$P$12,IF(AND($G43="Minor",$I43="No",$L43="WD"),'Point Schedule'!$O$12,IF(AND(G43="Major",$I43="No",L43="WB"),'Point Schedule'!$P$12,IF(AND(G43="Minor",$I43="No",L43="WB"),'Point Schedule'!$O$12,0))))</f>
        <v>0</v>
      </c>
      <c r="V43" s="128">
        <f>IF(AND(G43="Major",$I43="No",M43="Reserve"),'Point Schedule'!$O$14,0)</f>
        <v>0</v>
      </c>
      <c r="W43" s="128">
        <f>IF(AND(G43="Major",$I43="No",N43="BOW"),'Point Schedule'!$P$13,IF(AND(G43="Minor",$I43="No",N43="BOW"),'Point Schedule'!$O$13,0))</f>
        <v>0</v>
      </c>
      <c r="X43" s="128">
        <f>IF(AND($G43="Major",$O43="BOB",$H43="Nat'l Spec"),'Point Schedule'!$O$17,IF(AND($G43="Minor",$O43="BOB",$H43="Nat'l Spec"),'Point Schedule'!$O$17,IF(AND($G43="Major",$O43="BOB",$H43="Specialty"),'Point Schedule'!$P$10,IF(AND($G43="Minor",$O43="BOB",$H43="Specialty"),'Point Schedule'!$O$10,IF(AND($G43="Minor",$O43="BOB",$H43="Spec"),'Point Schedule'!$O$10,IF(AND($G43="Major",$O43="BOB",$H43="Non-Spec"),'Point Schedule'!$P$10,IF(AND($G43="Minor",$O43="BOB",$H43="Non-Spec"),'Point Schedule'!$O$10,0)))))))</f>
        <v>0</v>
      </c>
      <c r="Y43" s="128">
        <f>IF(AND($G43="Major",$P43="BOS",$H43="Nat'l Spec"),'Point Schedule'!$O$18,IF(AND($G43="Minor",$P43="BOS",$H43="Nat'l Spec"),'Point Schedule'!$O$18,IF(AND($G43="Major",$P43="BOS",$H43="Specialty"),'Point Schedule'!$P$10,IF(AND($G43="Minor",$P43="BOS",$H43="Specialty"),'Point Schedule'!$O$10,IF(AND($G43="Minor",$P43="BOS",$H43="Spec"),'Point Schedule'!$O$10,IF(AND($G43="Major",$P43="BOS",$H43="Non-Spec"),'Point Schedule'!$P$10,IF(AND($G43="Minor",$P43="BOS",$H43="Non-Spec"),'Point Schedule'!$O$10,0)))))))</f>
        <v>0</v>
      </c>
      <c r="Z43" s="128">
        <f>IF(AND($G43="Major",$I43="No",$O43="SD"),'Point Schedule'!$P$20,IF(AND($G43="Minor",$I43="No",$O43="SD"),'Point Schedule'!$O$20,IF(AND($G43="Major",$I43="No",$O43="SB"),'Point Schedule'!$P$20,IF(AND($G43="Minor",$I43="No",$O43="SB"),'Point Schedule'!$O$20,0))))</f>
        <v>0</v>
      </c>
      <c r="AA43" s="128">
        <f>IF(AND($G43="Major",$I43="No",$H43="Specialty",$O43="JAM"),'Point Schedule'!$P$20,IF(AND($G43="Minor",$I43="No",$H43="Nat'l Spec",$O43="JAM"),'Point Schedule'!$O$20,IF(AND($G43="Minor",$I43="No",$H43="Non-Spec",$O43="JAM"),'Point Schedule'!$O$20,IF(AND($G43="Minor",$I43="No",$H43="Specialty",$O43="JAM"),'Point Schedule'!$O$20,IF(AND($G43="Major",$H43="Nat'l Spec",$I43="No",$O43="JAM"),'Point Schedule'!$O$21,IF(AND($G43="Major",$I43="No",$H43="Non-Spec",$O43="JAM"),'Point Schedule'!$P$20,0))))))</f>
        <v>0</v>
      </c>
      <c r="AB43" s="128">
        <f>IF(AND(Q43="1st",$O43="BOB",$H43="Non-Spec"), 'Point Schedule'!$O$5, IF(AND(Q43="2nd",$O43="BOB",$H43="Non-Spec"),'Point Schedule'!$O$6, IF(AND(Q43="3rd",$O43="BOB",$H43="Non-Spec"), 'Point Schedule'!$O$7, IF(AND(Q43="4th",$O43="BOB",$H43="Non-Spec"), 'Point Schedule'!$O$8,0))))</f>
        <v>0</v>
      </c>
      <c r="AC43" s="128">
        <f>IF(AND(R43="BIS",$Q43="1st"),'Point Schedule'!$O$4,0)</f>
        <v>0</v>
      </c>
      <c r="AD43" s="128">
        <f>IF(AND($H43="Nat'l Spec",$I43="No",$K43="1st",'Tabulation Sheet'!$AI34=0,$G43="Major"),'Point Schedule'!$W$26,IF(AND($H43="Nat'l Spec",$I43="No",'Tabulation Sheet'!$AI34=0,$K43="1st",$G43="Minor"),'Point Schedule'!$V$26,IF(AND($H43="Specialty",$I43="No",'Tabulation Sheet'!$AI34=0,$K43="1st",$G43="Major"),'Point Schedule'!$O$15,IF(AND($H43="Specialty",$I43="No",'Tabulation Sheet'!$AI34=0,$K43="1st",$G43="Minor"),'Point Schedule'!$O$15,0))))</f>
        <v>0</v>
      </c>
      <c r="AE43" s="129">
        <f>IF(AND(H43="Nat'l Spec",L43="WD"),'Point Schedule'!$O$19,IF(AND(H43="Nat'l Spec",L43="WB"),'Point Schedule'!$O$19,0))</f>
        <v>0</v>
      </c>
      <c r="AF43" s="128">
        <f>IF(AND($H43="Nat'l Spec",$K43="1st",I43="Yes"),'Point Schedule'!$V$18,IF(AND($H43="Specialty",$K43="1st",I43="Yes"),'Point Schedule'!$V$15,0))</f>
        <v>0</v>
      </c>
      <c r="AG43" s="128">
        <f>IF(AND($H43="Nat'l Spec",$S43="BIS",$I43="Yes"),'Point Schedule'!$V$19,IF(AND($H43="Specialty",$S43="BIS",$I43="Yes"),'Point Schedule'!$V$16,0))</f>
        <v>0</v>
      </c>
      <c r="AH43" s="128">
        <f>IF(AND($H43="Nat'l Spec",$T43="BOSS",I43="Yes"),'Point Schedule'!$V$20,IF(AND($H43="Specialty",$T43="BOSS",$I43="Yes"),'Point Schedule'!$V$17,0))</f>
        <v>0</v>
      </c>
      <c r="AI43" s="115">
        <f t="shared" si="0"/>
        <v>0</v>
      </c>
      <c r="AJ43" s="115">
        <f>IF(AND($J43="Pro",'Tabulation Sheet'!$AC$46=0),SUM($U43:$AH43),0)</f>
        <v>0</v>
      </c>
      <c r="AK43" s="116">
        <f>IF('Tabulation Sheet'!$AI34=0,SUM($AF43:$AH43),0)</f>
        <v>0</v>
      </c>
      <c r="AL43" s="761"/>
    </row>
    <row r="44" spans="1:38" ht="20.149999999999999" customHeight="1" x14ac:dyDescent="0.7">
      <c r="A44" s="387"/>
      <c r="B44" s="265"/>
      <c r="C44" s="716"/>
      <c r="D44" s="717"/>
      <c r="E44" s="718"/>
      <c r="F44" s="264"/>
      <c r="G44" s="264"/>
      <c r="H44" s="264"/>
      <c r="I44" s="264"/>
      <c r="J44" s="264"/>
      <c r="K44" s="264"/>
      <c r="L44" s="264"/>
      <c r="M44" s="264"/>
      <c r="N44" s="264"/>
      <c r="O44" s="264"/>
      <c r="P44" s="264"/>
      <c r="Q44" s="264"/>
      <c r="R44" s="264"/>
      <c r="S44" s="264"/>
      <c r="T44" s="264"/>
      <c r="U44" s="128">
        <f>IF(AND($G44="Major",$I44="No",$L44="WD"),'Point Schedule'!$P$12,IF(AND($G44="Minor",$I44="No",$L44="WD"),'Point Schedule'!$O$12,IF(AND(G44="Major",$I44="No",L44="WB"),'Point Schedule'!$P$12,IF(AND(G44="Minor",$I44="No",L44="WB"),'Point Schedule'!$O$12,0))))</f>
        <v>0</v>
      </c>
      <c r="V44" s="128">
        <f>IF(AND(G44="Major",$I44="No",M44="Reserve"),'Point Schedule'!$O$14,0)</f>
        <v>0</v>
      </c>
      <c r="W44" s="128">
        <f>IF(AND(G44="Major",$I44="No",N44="BOW"),'Point Schedule'!$P$13,IF(AND(G44="Minor",$I44="No",N44="BOW"),'Point Schedule'!$O$13,0))</f>
        <v>0</v>
      </c>
      <c r="X44" s="128">
        <f>IF(AND($G44="Major",$O44="BOB",$H44="Nat'l Spec"),'Point Schedule'!$O$17,IF(AND($G44="Minor",$O44="BOB",$H44="Nat'l Spec"),'Point Schedule'!$O$17,IF(AND($G44="Major",$O44="BOB",$H44="Specialty"),'Point Schedule'!$P$10,IF(AND($G44="Minor",$O44="BOB",$H44="Specialty"),'Point Schedule'!$O$10,IF(AND($G44="Minor",$O44="BOB",$H44="Spec"),'Point Schedule'!$O$10,IF(AND($G44="Major",$O44="BOB",$H44="Non-Spec"),'Point Schedule'!$P$10,IF(AND($G44="Minor",$O44="BOB",$H44="Non-Spec"),'Point Schedule'!$O$10,0)))))))</f>
        <v>0</v>
      </c>
      <c r="Y44" s="128">
        <f>IF(AND($G44="Major",$P44="BOS",$H44="Nat'l Spec"),'Point Schedule'!$O$18,IF(AND($G44="Minor",$P44="BOS",$H44="Nat'l Spec"),'Point Schedule'!$O$18,IF(AND($G44="Major",$P44="BOS",$H44="Specialty"),'Point Schedule'!$P$10,IF(AND($G44="Minor",$P44="BOS",$H44="Specialty"),'Point Schedule'!$O$10,IF(AND($G44="Minor",$P44="BOS",$H44="Spec"),'Point Schedule'!$O$10,IF(AND($G44="Major",$P44="BOS",$H44="Non-Spec"),'Point Schedule'!$P$10,IF(AND($G44="Minor",$P44="BOS",$H44="Non-Spec"),'Point Schedule'!$O$10,0)))))))</f>
        <v>0</v>
      </c>
      <c r="Z44" s="128">
        <f>IF(AND($G44="Major",$I44="No",$O44="SD"),'Point Schedule'!$P$20,IF(AND($G44="Minor",$I44="No",$O44="SD"),'Point Schedule'!$O$20,IF(AND($G44="Major",$I44="No",$O44="SB"),'Point Schedule'!$P$20,IF(AND($G44="Minor",$I44="No",$O44="SB"),'Point Schedule'!$O$20,0))))</f>
        <v>0</v>
      </c>
      <c r="AA44" s="128">
        <f>IF(AND($G44="Major",$I44="No",$H44="Specialty",$O44="JAM"),'Point Schedule'!$P$20,IF(AND($G44="Minor",$I44="No",$H44="Nat'l Spec",$O44="JAM"),'Point Schedule'!$O$20,IF(AND($G44="Minor",$I44="No",$H44="Non-Spec",$O44="JAM"),'Point Schedule'!$O$20,IF(AND($G44="Minor",$I44="No",$H44="Specialty",$O44="JAM"),'Point Schedule'!$O$20,IF(AND($G44="Major",$H44="Nat'l Spec",$I44="No",$O44="JAM"),'Point Schedule'!$O$21,IF(AND($G44="Major",$I44="No",$H44="Non-Spec",$O44="JAM"),'Point Schedule'!$P$20,0))))))</f>
        <v>0</v>
      </c>
      <c r="AB44" s="128">
        <f>IF(AND(Q44="1st",$O44="BOB",$H44="Non-Spec"), 'Point Schedule'!$O$5, IF(AND(Q44="2nd",$O44="BOB",$H44="Non-Spec"),'Point Schedule'!$O$6, IF(AND(Q44="3rd",$O44="BOB",$H44="Non-Spec"), 'Point Schedule'!$O$7, IF(AND(Q44="4th",$O44="BOB",$H44="Non-Spec"), 'Point Schedule'!$O$8,0))))</f>
        <v>0</v>
      </c>
      <c r="AC44" s="128">
        <f>IF(AND(R44="BIS",$Q44="1st"),'Point Schedule'!$O$4,0)</f>
        <v>0</v>
      </c>
      <c r="AD44" s="128">
        <f>IF(AND($H44="Nat'l Spec",$I44="No",$K44="1st",'Tabulation Sheet'!$AI35=0,$G44="Major"),'Point Schedule'!$W$26,IF(AND($H44="Nat'l Spec",$I44="No",'Tabulation Sheet'!$AI35=0,$K44="1st",$G44="Minor"),'Point Schedule'!$V$26,IF(AND($H44="Specialty",$I44="No",'Tabulation Sheet'!$AI35=0,$K44="1st",$G44="Major"),'Point Schedule'!$O$15,IF(AND($H44="Specialty",$I44="No",'Tabulation Sheet'!$AI35=0,$K44="1st",$G44="Minor"),'Point Schedule'!$O$15,0))))</f>
        <v>0</v>
      </c>
      <c r="AE44" s="129">
        <f>IF(AND(H44="Nat'l Spec",L44="WD"),'Point Schedule'!$O$19,IF(AND(H44="Nat'l Spec",L44="WB"),'Point Schedule'!$O$19,0))</f>
        <v>0</v>
      </c>
      <c r="AF44" s="128">
        <f>IF(AND($H44="Nat'l Spec",$K44="1st",I44="Yes"),'Point Schedule'!$V$18,IF(AND($H44="Specialty",$K44="1st",I44="Yes"),'Point Schedule'!$V$15,0))</f>
        <v>0</v>
      </c>
      <c r="AG44" s="128">
        <f>IF(AND($H44="Nat'l Spec",$S44="BIS",$I44="Yes"),'Point Schedule'!$V$19,IF(AND($H44="Specialty",$S44="BIS",$I44="Yes"),'Point Schedule'!$V$16,0))</f>
        <v>0</v>
      </c>
      <c r="AH44" s="128">
        <f>IF(AND($H44="Nat'l Spec",$T44="BOSS",I44="Yes"),'Point Schedule'!$V$20,IF(AND($H44="Specialty",$T44="BOSS",$I44="Yes"),'Point Schedule'!$V$17,0))</f>
        <v>0</v>
      </c>
      <c r="AI44" s="115">
        <f t="shared" si="0"/>
        <v>0</v>
      </c>
      <c r="AJ44" s="115">
        <f>IF(AND($J44="Pro",'Tabulation Sheet'!$AC$46=0),SUM($U44:$AH44),0)</f>
        <v>0</v>
      </c>
      <c r="AK44" s="116">
        <f>IF('Tabulation Sheet'!$AI35=0,SUM($AF44:$AH44),0)</f>
        <v>0</v>
      </c>
      <c r="AL44" s="761"/>
    </row>
    <row r="45" spans="1:38" ht="20.149999999999999" customHeight="1" x14ac:dyDescent="0.7">
      <c r="A45" s="387"/>
      <c r="B45" s="265"/>
      <c r="C45" s="716"/>
      <c r="D45" s="717"/>
      <c r="E45" s="718"/>
      <c r="F45" s="264"/>
      <c r="G45" s="264"/>
      <c r="H45" s="264"/>
      <c r="I45" s="264"/>
      <c r="J45" s="264"/>
      <c r="K45" s="264"/>
      <c r="L45" s="264"/>
      <c r="M45" s="264"/>
      <c r="N45" s="264"/>
      <c r="O45" s="264"/>
      <c r="P45" s="264"/>
      <c r="Q45" s="264"/>
      <c r="R45" s="264"/>
      <c r="S45" s="264"/>
      <c r="T45" s="264"/>
      <c r="U45" s="128">
        <f>IF(AND($G45="Major",$I45="No",$L45="WD"),'Point Schedule'!$P$12,IF(AND($G45="Minor",$I45="No",$L45="WD"),'Point Schedule'!$O$12,IF(AND(G45="Major",$I45="No",L45="WB"),'Point Schedule'!$P$12,IF(AND(G45="Minor",$I45="No",L45="WB"),'Point Schedule'!$O$12,0))))</f>
        <v>0</v>
      </c>
      <c r="V45" s="128">
        <f>IF(AND(G45="Major",$I45="No",M45="Reserve"),'Point Schedule'!$O$14,0)</f>
        <v>0</v>
      </c>
      <c r="W45" s="128">
        <f>IF(AND(G45="Major",$I45="No",N45="BOW"),'Point Schedule'!$P$13,IF(AND(G45="Minor",$I45="No",N45="BOW"),'Point Schedule'!$O$13,0))</f>
        <v>0</v>
      </c>
      <c r="X45" s="128">
        <f>IF(AND($G45="Major",$O45="BOB",$H45="Nat'l Spec"),'Point Schedule'!$O$17,IF(AND($G45="Minor",$O45="BOB",$H45="Nat'l Spec"),'Point Schedule'!$O$17,IF(AND($G45="Major",$O45="BOB",$H45="Specialty"),'Point Schedule'!$P$10,IF(AND($G45="Minor",$O45="BOB",$H45="Specialty"),'Point Schedule'!$O$10,IF(AND($G45="Minor",$O45="BOB",$H45="Spec"),'Point Schedule'!$O$10,IF(AND($G45="Major",$O45="BOB",$H45="Non-Spec"),'Point Schedule'!$P$10,IF(AND($G45="Minor",$O45="BOB",$H45="Non-Spec"),'Point Schedule'!$O$10,0)))))))</f>
        <v>0</v>
      </c>
      <c r="Y45" s="128">
        <f>IF(AND($G45="Major",$P45="BOS",$H45="Nat'l Spec"),'Point Schedule'!$O$18,IF(AND($G45="Minor",$P45="BOS",$H45="Nat'l Spec"),'Point Schedule'!$O$18,IF(AND($G45="Major",$P45="BOS",$H45="Specialty"),'Point Schedule'!$P$10,IF(AND($G45="Minor",$P45="BOS",$H45="Specialty"),'Point Schedule'!$O$10,IF(AND($G45="Minor",$P45="BOS",$H45="Spec"),'Point Schedule'!$O$10,IF(AND($G45="Major",$P45="BOS",$H45="Non-Spec"),'Point Schedule'!$P$10,IF(AND($G45="Minor",$P45="BOS",$H45="Non-Spec"),'Point Schedule'!$O$10,0)))))))</f>
        <v>0</v>
      </c>
      <c r="Z45" s="128">
        <f>IF(AND($G45="Major",$I45="No",$O45="SD"),'Point Schedule'!$P$20,IF(AND($G45="Minor",$I45="No",$O45="SD"),'Point Schedule'!$O$20,IF(AND($G45="Major",$I45="No",$O45="SB"),'Point Schedule'!$P$20,IF(AND($G45="Minor",$I45="No",$O45="SB"),'Point Schedule'!$O$20,0))))</f>
        <v>0</v>
      </c>
      <c r="AA45" s="128">
        <f>IF(AND($G45="Major",$I45="No",$H45="Specialty",$O45="JAM"),'Point Schedule'!$P$20,IF(AND($G45="Minor",$I45="No",$H45="Nat'l Spec",$O45="JAM"),'Point Schedule'!$O$20,IF(AND($G45="Minor",$I45="No",$H45="Non-Spec",$O45="JAM"),'Point Schedule'!$O$20,IF(AND($G45="Minor",$I45="No",$H45="Specialty",$O45="JAM"),'Point Schedule'!$O$20,IF(AND($G45="Major",$H45="Nat'l Spec",$I45="No",$O45="JAM"),'Point Schedule'!$O$21,IF(AND($G45="Major",$I45="No",$H45="Non-Spec",$O45="JAM"),'Point Schedule'!$P$20,0))))))</f>
        <v>0</v>
      </c>
      <c r="AB45" s="128">
        <f>IF(AND(Q45="1st",$O45="BOB",$H45="Non-Spec"), 'Point Schedule'!$O$5, IF(AND(Q45="2nd",$O45="BOB",$H45="Non-Spec"),'Point Schedule'!$O$6, IF(AND(Q45="3rd",$O45="BOB",$H45="Non-Spec"), 'Point Schedule'!$O$7, IF(AND(Q45="4th",$O45="BOB",$H45="Non-Spec"), 'Point Schedule'!$O$8,0))))</f>
        <v>0</v>
      </c>
      <c r="AC45" s="128">
        <f>IF(AND(R45="BIS",$Q45="1st"),'Point Schedule'!$O$4,0)</f>
        <v>0</v>
      </c>
      <c r="AD45" s="128">
        <f>IF(AND($H45="Nat'l Spec",$I45="No",$K45="1st",'Tabulation Sheet'!$AI36=0,$G45="Major"),'Point Schedule'!$W$26,IF(AND($H45="Nat'l Spec",$I45="No",'Tabulation Sheet'!$AI36=0,$K45="1st",$G45="Minor"),'Point Schedule'!$V$26,IF(AND($H45="Specialty",$I45="No",'Tabulation Sheet'!$AI36=0,$K45="1st",$G45="Major"),'Point Schedule'!$O$15,IF(AND($H45="Specialty",$I45="No",'Tabulation Sheet'!$AI36=0,$K45="1st",$G45="Minor"),'Point Schedule'!$O$15,0))))</f>
        <v>0</v>
      </c>
      <c r="AE45" s="129">
        <f>IF(AND(H45="Nat'l Spec",L45="WD"),'Point Schedule'!$O$19,IF(AND(H45="Nat'l Spec",L45="WB"),'Point Schedule'!$O$19,0))</f>
        <v>0</v>
      </c>
      <c r="AF45" s="128">
        <f>IF(AND($H45="Nat'l Spec",$K45="1st",I45="Yes"),'Point Schedule'!$V$18,IF(AND($H45="Specialty",$K45="1st",I45="Yes"),'Point Schedule'!$V$15,0))</f>
        <v>0</v>
      </c>
      <c r="AG45" s="128">
        <f>IF(AND($H45="Nat'l Spec",$S45="BIS",$I45="Yes"),'Point Schedule'!$V$19,IF(AND($H45="Specialty",$S45="BIS",$I45="Yes"),'Point Schedule'!$V$16,0))</f>
        <v>0</v>
      </c>
      <c r="AH45" s="128">
        <f>IF(AND($H45="Nat'l Spec",$T45="BOSS",I45="Yes"),'Point Schedule'!$V$20,IF(AND($H45="Specialty",$T45="BOSS",$I45="Yes"),'Point Schedule'!$V$17,0))</f>
        <v>0</v>
      </c>
      <c r="AI45" s="115">
        <f t="shared" si="0"/>
        <v>0</v>
      </c>
      <c r="AJ45" s="115">
        <f>IF(AND($J45="Pro",'Tabulation Sheet'!$AC$46=0),SUM($U45:$AH45),0)</f>
        <v>0</v>
      </c>
      <c r="AK45" s="116">
        <f>IF('Tabulation Sheet'!$AI36=0,SUM($AF45:$AH45),0)</f>
        <v>0</v>
      </c>
      <c r="AL45" s="761"/>
    </row>
    <row r="46" spans="1:38" ht="20.149999999999999" customHeight="1" x14ac:dyDescent="0.7">
      <c r="A46" s="387"/>
      <c r="B46" s="265"/>
      <c r="C46" s="716"/>
      <c r="D46" s="717"/>
      <c r="E46" s="718"/>
      <c r="F46" s="264"/>
      <c r="G46" s="264"/>
      <c r="H46" s="264"/>
      <c r="I46" s="264"/>
      <c r="J46" s="264"/>
      <c r="K46" s="264"/>
      <c r="L46" s="264"/>
      <c r="M46" s="264"/>
      <c r="N46" s="264"/>
      <c r="O46" s="264"/>
      <c r="P46" s="264"/>
      <c r="Q46" s="264"/>
      <c r="R46" s="264"/>
      <c r="S46" s="264"/>
      <c r="T46" s="264"/>
      <c r="U46" s="128">
        <f>IF(AND($G46="Major",$I46="No",$L46="WD"),'Point Schedule'!$P$12,IF(AND($G46="Minor",$I46="No",$L46="WD"),'Point Schedule'!$O$12,IF(AND(G46="Major",$I46="No",L46="WB"),'Point Schedule'!$P$12,IF(AND(G46="Minor",$I46="No",L46="WB"),'Point Schedule'!$O$12,0))))</f>
        <v>0</v>
      </c>
      <c r="V46" s="128">
        <f>IF(AND(G46="Major",$I46="No",M46="Reserve"),'Point Schedule'!$O$14,0)</f>
        <v>0</v>
      </c>
      <c r="W46" s="128">
        <f>IF(AND(G46="Major",$I46="No",N46="BOW"),'Point Schedule'!$P$13,IF(AND(G46="Minor",$I46="No",N46="BOW"),'Point Schedule'!$O$13,0))</f>
        <v>0</v>
      </c>
      <c r="X46" s="128">
        <f>IF(AND($G46="Major",$O46="BOB",$H46="Nat'l Spec"),'Point Schedule'!$O$17,IF(AND($G46="Minor",$O46="BOB",$H46="Nat'l Spec"),'Point Schedule'!$O$17,IF(AND($G46="Major",$O46="BOB",$H46="Specialty"),'Point Schedule'!$P$10,IF(AND($G46="Minor",$O46="BOB",$H46="Specialty"),'Point Schedule'!$O$10,IF(AND($G46="Minor",$O46="BOB",$H46="Spec"),'Point Schedule'!$O$10,IF(AND($G46="Major",$O46="BOB",$H46="Non-Spec"),'Point Schedule'!$P$10,IF(AND($G46="Minor",$O46="BOB",$H46="Non-Spec"),'Point Schedule'!$O$10,0)))))))</f>
        <v>0</v>
      </c>
      <c r="Y46" s="128">
        <f>IF(AND($G46="Major",$P46="BOS",$H46="Nat'l Spec"),'Point Schedule'!$O$18,IF(AND($G46="Minor",$P46="BOS",$H46="Nat'l Spec"),'Point Schedule'!$O$18,IF(AND($G46="Major",$P46="BOS",$H46="Specialty"),'Point Schedule'!$P$10,IF(AND($G46="Minor",$P46="BOS",$H46="Specialty"),'Point Schedule'!$O$10,IF(AND($G46="Minor",$P46="BOS",$H46="Spec"),'Point Schedule'!$O$10,IF(AND($G46="Major",$P46="BOS",$H46="Non-Spec"),'Point Schedule'!$P$10,IF(AND($G46="Minor",$P46="BOS",$H46="Non-Spec"),'Point Schedule'!$O$10,0)))))))</f>
        <v>0</v>
      </c>
      <c r="Z46" s="128">
        <f>IF(AND($G46="Major",$I46="No",$O46="SD"),'Point Schedule'!$P$20,IF(AND($G46="Minor",$I46="No",$O46="SD"),'Point Schedule'!$O$20,IF(AND($G46="Major",$I46="No",$O46="SB"),'Point Schedule'!$P$20,IF(AND($G46="Minor",$I46="No",$O46="SB"),'Point Schedule'!$O$20,0))))</f>
        <v>0</v>
      </c>
      <c r="AA46" s="128">
        <f>IF(AND($G46="Major",$I46="No",$H46="Specialty",$O46="JAM"),'Point Schedule'!$P$20,IF(AND($G46="Minor",$I46="No",$H46="Nat'l Spec",$O46="JAM"),'Point Schedule'!$O$20,IF(AND($G46="Minor",$I46="No",$H46="Non-Spec",$O46="JAM"),'Point Schedule'!$O$20,IF(AND($G46="Minor",$I46="No",$H46="Specialty",$O46="JAM"),'Point Schedule'!$O$20,IF(AND($G46="Major",$H46="Nat'l Spec",$I46="No",$O46="JAM"),'Point Schedule'!$O$21,IF(AND($G46="Major",$I46="No",$H46="Non-Spec",$O46="JAM"),'Point Schedule'!$P$20,0))))))</f>
        <v>0</v>
      </c>
      <c r="AB46" s="128">
        <f>IF(AND(Q46="1st",$O46="BOB",$H46="Non-Spec"), 'Point Schedule'!$O$5, IF(AND(Q46="2nd",$O46="BOB",$H46="Non-Spec"),'Point Schedule'!$O$6, IF(AND(Q46="3rd",$O46="BOB",$H46="Non-Spec"), 'Point Schedule'!$O$7, IF(AND(Q46="4th",$O46="BOB",$H46="Non-Spec"), 'Point Schedule'!$O$8,0))))</f>
        <v>0</v>
      </c>
      <c r="AC46" s="128">
        <f>IF(AND(R46="BIS",$Q46="1st"),'Point Schedule'!$O$4,0)</f>
        <v>0</v>
      </c>
      <c r="AD46" s="128">
        <f>IF(AND($H46="Nat'l Spec",$I46="No",$K46="1st",'Tabulation Sheet'!$AI37=0,$G46="Major"),'Point Schedule'!$W$26,IF(AND($H46="Nat'l Spec",$I46="No",'Tabulation Sheet'!$AI37=0,$K46="1st",$G46="Minor"),'Point Schedule'!$V$26,IF(AND($H46="Specialty",$I46="No",'Tabulation Sheet'!$AI37=0,$K46="1st",$G46="Major"),'Point Schedule'!$O$15,IF(AND($H46="Specialty",$I46="No",'Tabulation Sheet'!$AI37=0,$K46="1st",$G46="Minor"),'Point Schedule'!$O$15,0))))</f>
        <v>0</v>
      </c>
      <c r="AE46" s="129">
        <f>IF(AND(H46="Nat'l Spec",L46="WD"),'Point Schedule'!$O$19,IF(AND(H46="Nat'l Spec",L46="WB"),'Point Schedule'!$O$19,0))</f>
        <v>0</v>
      </c>
      <c r="AF46" s="128">
        <f>IF(AND($H46="Nat'l Spec",$K46="1st",I46="Yes"),'Point Schedule'!$V$18,IF(AND($H46="Specialty",$K46="1st",I46="Yes"),'Point Schedule'!$V$15,0))</f>
        <v>0</v>
      </c>
      <c r="AG46" s="128">
        <f>IF(AND($H46="Nat'l Spec",$S46="BIS",$I46="Yes"),'Point Schedule'!$V$19,IF(AND($H46="Specialty",$S46="BIS",$I46="Yes"),'Point Schedule'!$V$16,0))</f>
        <v>0</v>
      </c>
      <c r="AH46" s="128">
        <f>IF(AND($H46="Nat'l Spec",$T46="BOSS",I46="Yes"),'Point Schedule'!$V$20,IF(AND($H46="Specialty",$T46="BOSS",$I46="Yes"),'Point Schedule'!$V$17,0))</f>
        <v>0</v>
      </c>
      <c r="AI46" s="115">
        <f t="shared" si="0"/>
        <v>0</v>
      </c>
      <c r="AJ46" s="115">
        <f>IF(AND($J46="Pro",'Tabulation Sheet'!$AC$46=0),SUM($U46:$AH46),0)</f>
        <v>0</v>
      </c>
      <c r="AK46" s="116">
        <f>IF('Tabulation Sheet'!$AI37=0,SUM($AF46:$AH46),0)</f>
        <v>0</v>
      </c>
      <c r="AL46" s="761"/>
    </row>
    <row r="47" spans="1:38" ht="20.149999999999999" customHeight="1" x14ac:dyDescent="0.7">
      <c r="A47" s="387"/>
      <c r="B47" s="265"/>
      <c r="C47" s="716"/>
      <c r="D47" s="717"/>
      <c r="E47" s="718"/>
      <c r="F47" s="264"/>
      <c r="G47" s="264"/>
      <c r="H47" s="264"/>
      <c r="I47" s="264"/>
      <c r="J47" s="264"/>
      <c r="K47" s="264"/>
      <c r="L47" s="264"/>
      <c r="M47" s="264"/>
      <c r="N47" s="264"/>
      <c r="O47" s="264"/>
      <c r="P47" s="264"/>
      <c r="Q47" s="264"/>
      <c r="R47" s="264"/>
      <c r="S47" s="264"/>
      <c r="T47" s="264"/>
      <c r="U47" s="128">
        <f>IF(AND($G47="Major",$I47="No",$L47="WD"),'Point Schedule'!$P$12,IF(AND($G47="Minor",$I47="No",$L47="WD"),'Point Schedule'!$O$12,IF(AND(G47="Major",$I47="No",L47="WB"),'Point Schedule'!$P$12,IF(AND(G47="Minor",$I47="No",L47="WB"),'Point Schedule'!$O$12,0))))</f>
        <v>0</v>
      </c>
      <c r="V47" s="128">
        <f>IF(AND(G47="Major",$I47="No",M47="Reserve"),'Point Schedule'!$O$14,0)</f>
        <v>0</v>
      </c>
      <c r="W47" s="128">
        <f>IF(AND(G47="Major",$I47="No",N47="BOW"),'Point Schedule'!$P$13,IF(AND(G47="Minor",$I47="No",N47="BOW"),'Point Schedule'!$O$13,0))</f>
        <v>0</v>
      </c>
      <c r="X47" s="128">
        <f>IF(AND($G47="Major",$O47="BOB",$H47="Nat'l Spec"),'Point Schedule'!$O$17,IF(AND($G47="Minor",$O47="BOB",$H47="Nat'l Spec"),'Point Schedule'!$O$17,IF(AND($G47="Major",$O47="BOB",$H47="Specialty"),'Point Schedule'!$P$10,IF(AND($G47="Minor",$O47="BOB",$H47="Specialty"),'Point Schedule'!$O$10,IF(AND($G47="Minor",$O47="BOB",$H47="Spec"),'Point Schedule'!$O$10,IF(AND($G47="Major",$O47="BOB",$H47="Non-Spec"),'Point Schedule'!$P$10,IF(AND($G47="Minor",$O47="BOB",$H47="Non-Spec"),'Point Schedule'!$O$10,0)))))))</f>
        <v>0</v>
      </c>
      <c r="Y47" s="128">
        <f>IF(AND($G47="Major",$P47="BOS",$H47="Nat'l Spec"),'Point Schedule'!$O$18,IF(AND($G47="Minor",$P47="BOS",$H47="Nat'l Spec"),'Point Schedule'!$O$18,IF(AND($G47="Major",$P47="BOS",$H47="Specialty"),'Point Schedule'!$P$10,IF(AND($G47="Minor",$P47="BOS",$H47="Specialty"),'Point Schedule'!$O$10,IF(AND($G47="Minor",$P47="BOS",$H47="Spec"),'Point Schedule'!$O$10,IF(AND($G47="Major",$P47="BOS",$H47="Non-Spec"),'Point Schedule'!$P$10,IF(AND($G47="Minor",$P47="BOS",$H47="Non-Spec"),'Point Schedule'!$O$10,0)))))))</f>
        <v>0</v>
      </c>
      <c r="Z47" s="128">
        <f>IF(AND($G47="Major",$I47="No",$O47="SD"),'Point Schedule'!$P$20,IF(AND($G47="Minor",$I47="No",$O47="SD"),'Point Schedule'!$O$20,IF(AND($G47="Major",$I47="No",$O47="SB"),'Point Schedule'!$P$20,IF(AND($G47="Minor",$I47="No",$O47="SB"),'Point Schedule'!$O$20,0))))</f>
        <v>0</v>
      </c>
      <c r="AA47" s="128">
        <f>IF(AND($G47="Major",$I47="No",$H47="Specialty",$O47="JAM"),'Point Schedule'!$P$20,IF(AND($G47="Minor",$I47="No",$H47="Nat'l Spec",$O47="JAM"),'Point Schedule'!$O$20,IF(AND($G47="Minor",$I47="No",$H47="Non-Spec",$O47="JAM"),'Point Schedule'!$O$20,IF(AND($G47="Minor",$I47="No",$H47="Specialty",$O47="JAM"),'Point Schedule'!$O$20,IF(AND($G47="Major",$H47="Nat'l Spec",$I47="No",$O47="JAM"),'Point Schedule'!$O$21,IF(AND($G47="Major",$I47="No",$H47="Non-Spec",$O47="JAM"),'Point Schedule'!$P$20,0))))))</f>
        <v>0</v>
      </c>
      <c r="AB47" s="128">
        <f>IF(AND(Q47="1st",$O47="BOB",$H47="Non-Spec"), 'Point Schedule'!$O$5, IF(AND(Q47="2nd",$O47="BOB",$H47="Non-Spec"),'Point Schedule'!$O$6, IF(AND(Q47="3rd",$O47="BOB",$H47="Non-Spec"), 'Point Schedule'!$O$7, IF(AND(Q47="4th",$O47="BOB",$H47="Non-Spec"), 'Point Schedule'!$O$8,0))))</f>
        <v>0</v>
      </c>
      <c r="AC47" s="128">
        <f>IF(AND(R47="BIS",$Q47="1st"),'Point Schedule'!$O$4,0)</f>
        <v>0</v>
      </c>
      <c r="AD47" s="128">
        <f>IF(AND($H47="Nat'l Spec",$I47="No",$K47="1st",'Tabulation Sheet'!$AI38=0,$G47="Major"),'Point Schedule'!$W$26,IF(AND($H47="Nat'l Spec",$I47="No",'Tabulation Sheet'!$AI38=0,$K47="1st",$G47="Minor"),'Point Schedule'!$V$26,IF(AND($H47="Specialty",$I47="No",'Tabulation Sheet'!$AI38=0,$K47="1st",$G47="Major"),'Point Schedule'!$O$15,IF(AND($H47="Specialty",$I47="No",'Tabulation Sheet'!$AI38=0,$K47="1st",$G47="Minor"),'Point Schedule'!$O$15,0))))</f>
        <v>0</v>
      </c>
      <c r="AE47" s="129">
        <f>IF(AND(H47="Nat'l Spec",L47="WD"),'Point Schedule'!$O$19,IF(AND(H47="Nat'l Spec",L47="WB"),'Point Schedule'!$O$19,0))</f>
        <v>0</v>
      </c>
      <c r="AF47" s="128">
        <f>IF(AND($H47="Nat'l Spec",$K47="1st",I47="Yes"),'Point Schedule'!$V$18,IF(AND($H47="Specialty",$K47="1st",I47="Yes"),'Point Schedule'!$V$15,0))</f>
        <v>0</v>
      </c>
      <c r="AG47" s="128">
        <f>IF(AND($H47="Nat'l Spec",$S47="BIS",$I47="Yes"),'Point Schedule'!$V$19,IF(AND($H47="Specialty",$S47="BIS",$I47="Yes"),'Point Schedule'!$V$16,0))</f>
        <v>0</v>
      </c>
      <c r="AH47" s="128">
        <f>IF(AND($H47="Nat'l Spec",$T47="BOSS",I47="Yes"),'Point Schedule'!$V$20,IF(AND($H47="Specialty",$T47="BOSS",$I47="Yes"),'Point Schedule'!$V$17,0))</f>
        <v>0</v>
      </c>
      <c r="AI47" s="115">
        <f t="shared" si="0"/>
        <v>0</v>
      </c>
      <c r="AJ47" s="115">
        <f>IF(AND($J47="Pro",'Tabulation Sheet'!$AC$46=0),SUM($U47:$AH47),0)</f>
        <v>0</v>
      </c>
      <c r="AK47" s="116">
        <f>IF('Tabulation Sheet'!$AI38=0,SUM($AF47:$AH47),0)</f>
        <v>0</v>
      </c>
      <c r="AL47" s="761"/>
    </row>
    <row r="48" spans="1:38" ht="20.149999999999999" customHeight="1" x14ac:dyDescent="0.7">
      <c r="A48" s="387"/>
      <c r="B48" s="265"/>
      <c r="C48" s="716"/>
      <c r="D48" s="717"/>
      <c r="E48" s="718"/>
      <c r="F48" s="264"/>
      <c r="G48" s="264"/>
      <c r="H48" s="264"/>
      <c r="I48" s="264"/>
      <c r="J48" s="264"/>
      <c r="K48" s="264"/>
      <c r="L48" s="264"/>
      <c r="M48" s="264"/>
      <c r="N48" s="264"/>
      <c r="O48" s="264"/>
      <c r="P48" s="264"/>
      <c r="Q48" s="264"/>
      <c r="R48" s="264"/>
      <c r="S48" s="264"/>
      <c r="T48" s="264"/>
      <c r="U48" s="128">
        <f>IF(AND($G48="Major",$I48="No",$L48="WD"),'Point Schedule'!$P$12,IF(AND($G48="Minor",$I48="No",$L48="WD"),'Point Schedule'!$O$12,IF(AND(G48="Major",$I48="No",L48="WB"),'Point Schedule'!$P$12,IF(AND(G48="Minor",$I48="No",L48="WB"),'Point Schedule'!$O$12,0))))</f>
        <v>0</v>
      </c>
      <c r="V48" s="128">
        <f>IF(AND(G48="Major",$I48="No",M48="Reserve"),'Point Schedule'!$O$14,0)</f>
        <v>0</v>
      </c>
      <c r="W48" s="128">
        <f>IF(AND(G48="Major",$I48="No",N48="BOW"),'Point Schedule'!$P$13,IF(AND(G48="Minor",$I48="No",N48="BOW"),'Point Schedule'!$O$13,0))</f>
        <v>0</v>
      </c>
      <c r="X48" s="128">
        <f>IF(AND($G48="Major",$O48="BOB",$H48="Nat'l Spec"),'Point Schedule'!$O$17,IF(AND($G48="Minor",$O48="BOB",$H48="Nat'l Spec"),'Point Schedule'!$O$17,IF(AND($G48="Major",$O48="BOB",$H48="Specialty"),'Point Schedule'!$P$10,IF(AND($G48="Minor",$O48="BOB",$H48="Specialty"),'Point Schedule'!$O$10,IF(AND($G48="Minor",$O48="BOB",$H48="Spec"),'Point Schedule'!$O$10,IF(AND($G48="Major",$O48="BOB",$H48="Non-Spec"),'Point Schedule'!$P$10,IF(AND($G48="Minor",$O48="BOB",$H48="Non-Spec"),'Point Schedule'!$O$10,0)))))))</f>
        <v>0</v>
      </c>
      <c r="Y48" s="128">
        <f>IF(AND($G48="Major",$P48="BOS",$H48="Nat'l Spec"),'Point Schedule'!$O$18,IF(AND($G48="Minor",$P48="BOS",$H48="Nat'l Spec"),'Point Schedule'!$O$18,IF(AND($G48="Major",$P48="BOS",$H48="Specialty"),'Point Schedule'!$P$10,IF(AND($G48="Minor",$P48="BOS",$H48="Specialty"),'Point Schedule'!$O$10,IF(AND($G48="Minor",$P48="BOS",$H48="Spec"),'Point Schedule'!$O$10,IF(AND($G48="Major",$P48="BOS",$H48="Non-Spec"),'Point Schedule'!$P$10,IF(AND($G48="Minor",$P48="BOS",$H48="Non-Spec"),'Point Schedule'!$O$10,0)))))))</f>
        <v>0</v>
      </c>
      <c r="Z48" s="128">
        <f>IF(AND($G48="Major",$I48="No",$O48="SD"),'Point Schedule'!$P$20,IF(AND($G48="Minor",$I48="No",$O48="SD"),'Point Schedule'!$O$20,IF(AND($G48="Major",$I48="No",$O48="SB"),'Point Schedule'!$P$20,IF(AND($G48="Minor",$I48="No",$O48="SB"),'Point Schedule'!$O$20,0))))</f>
        <v>0</v>
      </c>
      <c r="AA48" s="128">
        <f>IF(AND($G48="Major",$I48="No",$H48="Specialty",$O48="JAM"),'Point Schedule'!$P$20,IF(AND($G48="Minor",$I48="No",$H48="Nat'l Spec",$O48="JAM"),'Point Schedule'!$O$20,IF(AND($G48="Minor",$I48="No",$H48="Non-Spec",$O48="JAM"),'Point Schedule'!$O$20,IF(AND($G48="Minor",$I48="No",$H48="Specialty",$O48="JAM"),'Point Schedule'!$O$20,IF(AND($G48="Major",$H48="Nat'l Spec",$I48="No",$O48="JAM"),'Point Schedule'!$O$21,IF(AND($G48="Major",$I48="No",$H48="Non-Spec",$O48="JAM"),'Point Schedule'!$P$20,0))))))</f>
        <v>0</v>
      </c>
      <c r="AB48" s="128">
        <f>IF(AND(Q48="1st",$O48="BOB",$H48="Non-Spec"), 'Point Schedule'!$O$5, IF(AND(Q48="2nd",$O48="BOB",$H48="Non-Spec"),'Point Schedule'!$O$6, IF(AND(Q48="3rd",$O48="BOB",$H48="Non-Spec"), 'Point Schedule'!$O$7, IF(AND(Q48="4th",$O48="BOB",$H48="Non-Spec"), 'Point Schedule'!$O$8,0))))</f>
        <v>0</v>
      </c>
      <c r="AC48" s="128">
        <f>IF(AND(R48="BIS",$Q48="1st"),'Point Schedule'!$O$4,0)</f>
        <v>0</v>
      </c>
      <c r="AD48" s="128">
        <f>IF(AND($H48="Nat'l Spec",$I48="No",$K48="1st",'Tabulation Sheet'!$AI39=0,$G48="Major"),'Point Schedule'!$W$26,IF(AND($H48="Nat'l Spec",$I48="No",'Tabulation Sheet'!$AI39=0,$K48="1st",$G48="Minor"),'Point Schedule'!$V$26,IF(AND($H48="Specialty",$I48="No",'Tabulation Sheet'!$AI39=0,$K48="1st",$G48="Major"),'Point Schedule'!$O$15,IF(AND($H48="Specialty",$I48="No",'Tabulation Sheet'!$AI39=0,$K48="1st",$G48="Minor"),'Point Schedule'!$O$15,0))))</f>
        <v>0</v>
      </c>
      <c r="AE48" s="129">
        <f>IF(AND(H48="Nat'l Spec",L48="WD"),'Point Schedule'!$O$19,IF(AND(H48="Nat'l Spec",L48="WB"),'Point Schedule'!$O$19,0))</f>
        <v>0</v>
      </c>
      <c r="AF48" s="128">
        <f>IF(AND($H48="Nat'l Spec",$K48="1st",I48="Yes"),'Point Schedule'!$V$18,IF(AND($H48="Specialty",$K48="1st",I48="Yes"),'Point Schedule'!$V$15,0))</f>
        <v>0</v>
      </c>
      <c r="AG48" s="128">
        <f>IF(AND($H48="Nat'l Spec",$S48="BIS",$I48="Yes"),'Point Schedule'!$V$19,IF(AND($H48="Specialty",$S48="BIS",$I48="Yes"),'Point Schedule'!$V$16,0))</f>
        <v>0</v>
      </c>
      <c r="AH48" s="128">
        <f>IF(AND($H48="Nat'l Spec",$T48="BOSS",I48="Yes"),'Point Schedule'!$V$20,IF(AND($H48="Specialty",$T48="BOSS",$I48="Yes"),'Point Schedule'!$V$17,0))</f>
        <v>0</v>
      </c>
      <c r="AI48" s="115">
        <f t="shared" si="0"/>
        <v>0</v>
      </c>
      <c r="AJ48" s="115">
        <f>IF(AND($J48="Pro",'Tabulation Sheet'!$AC$46=0),SUM($U48:$AH48),0)</f>
        <v>0</v>
      </c>
      <c r="AK48" s="116">
        <f>IF('Tabulation Sheet'!$AI39=0,SUM($AF48:$AH48),0)</f>
        <v>0</v>
      </c>
      <c r="AL48" s="761"/>
    </row>
    <row r="49" spans="1:38" ht="20.149999999999999" customHeight="1" x14ac:dyDescent="0.7">
      <c r="A49" s="387"/>
      <c r="B49" s="265"/>
      <c r="C49" s="716"/>
      <c r="D49" s="717"/>
      <c r="E49" s="718"/>
      <c r="F49" s="264"/>
      <c r="G49" s="264"/>
      <c r="H49" s="264"/>
      <c r="I49" s="264"/>
      <c r="J49" s="264"/>
      <c r="K49" s="264"/>
      <c r="L49" s="264"/>
      <c r="M49" s="264"/>
      <c r="N49" s="264"/>
      <c r="O49" s="264"/>
      <c r="P49" s="264"/>
      <c r="Q49" s="264"/>
      <c r="R49" s="264"/>
      <c r="S49" s="264"/>
      <c r="T49" s="264"/>
      <c r="U49" s="128">
        <f>IF(AND($G49="Major",$I49="No",$L49="WD"),'Point Schedule'!$P$12,IF(AND($G49="Minor",$I49="No",$L49="WD"),'Point Schedule'!$O$12,IF(AND(G49="Major",$I49="No",L49="WB"),'Point Schedule'!$P$12,IF(AND(G49="Minor",$I49="No",L49="WB"),'Point Schedule'!$O$12,0))))</f>
        <v>0</v>
      </c>
      <c r="V49" s="128">
        <f>IF(AND(G49="Major",$I49="No",M49="Reserve"),'Point Schedule'!$O$14,0)</f>
        <v>0</v>
      </c>
      <c r="W49" s="128">
        <f>IF(AND(G49="Major",$I49="No",N49="BOW"),'Point Schedule'!$P$13,IF(AND(G49="Minor",$I49="No",N49="BOW"),'Point Schedule'!$O$13,0))</f>
        <v>0</v>
      </c>
      <c r="X49" s="128">
        <f>IF(AND($G49="Major",$O49="BOB",$H49="Nat'l Spec"),'Point Schedule'!$O$17,IF(AND($G49="Minor",$O49="BOB",$H49="Nat'l Spec"),'Point Schedule'!$O$17,IF(AND($G49="Major",$O49="BOB",$H49="Specialty"),'Point Schedule'!$P$10,IF(AND($G49="Minor",$O49="BOB",$H49="Specialty"),'Point Schedule'!$O$10,IF(AND($G49="Minor",$O49="BOB",$H49="Spec"),'Point Schedule'!$O$10,IF(AND($G49="Major",$O49="BOB",$H49="Non-Spec"),'Point Schedule'!$P$10,IF(AND($G49="Minor",$O49="BOB",$H49="Non-Spec"),'Point Schedule'!$O$10,0)))))))</f>
        <v>0</v>
      </c>
      <c r="Y49" s="128">
        <f>IF(AND($G49="Major",$P49="BOS",$H49="Nat'l Spec"),'Point Schedule'!$O$18,IF(AND($G49="Minor",$P49="BOS",$H49="Nat'l Spec"),'Point Schedule'!$O$18,IF(AND($G49="Major",$P49="BOS",$H49="Specialty"),'Point Schedule'!$P$10,IF(AND($G49="Minor",$P49="BOS",$H49="Specialty"),'Point Schedule'!$O$10,IF(AND($G49="Minor",$P49="BOS",$H49="Spec"),'Point Schedule'!$O$10,IF(AND($G49="Major",$P49="BOS",$H49="Non-Spec"),'Point Schedule'!$P$10,IF(AND($G49="Minor",$P49="BOS",$H49="Non-Spec"),'Point Schedule'!$O$10,0)))))))</f>
        <v>0</v>
      </c>
      <c r="Z49" s="128">
        <f>IF(AND($G49="Major",$I49="No",$O49="SD"),'Point Schedule'!$P$20,IF(AND($G49="Minor",$I49="No",$O49="SD"),'Point Schedule'!$O$20,IF(AND($G49="Major",$I49="No",$O49="SB"),'Point Schedule'!$P$20,IF(AND($G49="Minor",$I49="No",$O49="SB"),'Point Schedule'!$O$20,0))))</f>
        <v>0</v>
      </c>
      <c r="AA49" s="128">
        <f>IF(AND($G49="Major",$I49="No",$H49="Specialty",$O49="JAM"),'Point Schedule'!$P$20,IF(AND($G49="Minor",$I49="No",$H49="Nat'l Spec",$O49="JAM"),'Point Schedule'!$O$20,IF(AND($G49="Minor",$I49="No",$H49="Non-Spec",$O49="JAM"),'Point Schedule'!$O$20,IF(AND($G49="Minor",$I49="No",$H49="Specialty",$O49="JAM"),'Point Schedule'!$O$20,IF(AND($G49="Major",$H49="Nat'l Spec",$I49="No",$O49="JAM"),'Point Schedule'!$O$21,IF(AND($G49="Major",$I49="No",$H49="Non-Spec",$O49="JAM"),'Point Schedule'!$P$20,0))))))</f>
        <v>0</v>
      </c>
      <c r="AB49" s="128">
        <f>IF(AND(Q49="1st",$O49="BOB",$H49="Non-Spec"), 'Point Schedule'!$O$5, IF(AND(Q49="2nd",$O49="BOB",$H49="Non-Spec"),'Point Schedule'!$O$6, IF(AND(Q49="3rd",$O49="BOB",$H49="Non-Spec"), 'Point Schedule'!$O$7, IF(AND(Q49="4th",$O49="BOB",$H49="Non-Spec"), 'Point Schedule'!$O$8,0))))</f>
        <v>0</v>
      </c>
      <c r="AC49" s="128">
        <f>IF(AND(R49="BIS",$Q49="1st"),'Point Schedule'!$O$4,0)</f>
        <v>0</v>
      </c>
      <c r="AD49" s="128">
        <f>IF(AND($H49="Nat'l Spec",$I49="No",$K49="1st",'Tabulation Sheet'!$AI40=0,$G49="Major"),'Point Schedule'!$W$26,IF(AND($H49="Nat'l Spec",$I49="No",'Tabulation Sheet'!$AI40=0,$K49="1st",$G49="Minor"),'Point Schedule'!$V$26,IF(AND($H49="Specialty",$I49="No",'Tabulation Sheet'!$AI40=0,$K49="1st",$G49="Major"),'Point Schedule'!$O$15,IF(AND($H49="Specialty",$I49="No",'Tabulation Sheet'!$AI40=0,$K49="1st",$G49="Minor"),'Point Schedule'!$O$15,0))))</f>
        <v>0</v>
      </c>
      <c r="AE49" s="129">
        <f>IF(AND(H49="Nat'l Spec",L49="WD"),'Point Schedule'!$O$19,IF(AND(H49="Nat'l Spec",L49="WB"),'Point Schedule'!$O$19,0))</f>
        <v>0</v>
      </c>
      <c r="AF49" s="128">
        <f>IF(AND($H49="Nat'l Spec",$K49="1st",I49="Yes"),'Point Schedule'!$V$18,IF(AND($H49="Specialty",$K49="1st",I49="Yes"),'Point Schedule'!$V$15,0))</f>
        <v>0</v>
      </c>
      <c r="AG49" s="128">
        <f>IF(AND($H49="Nat'l Spec",$S49="BIS",$I49="Yes"),'Point Schedule'!$V$19,IF(AND($H49="Specialty",$S49="BIS",$I49="Yes"),'Point Schedule'!$V$16,0))</f>
        <v>0</v>
      </c>
      <c r="AH49" s="128">
        <f>IF(AND($H49="Nat'l Spec",$T49="BOSS",I49="Yes"),'Point Schedule'!$V$20,IF(AND($H49="Specialty",$T49="BOSS",$I49="Yes"),'Point Schedule'!$V$17,0))</f>
        <v>0</v>
      </c>
      <c r="AI49" s="115">
        <f t="shared" si="0"/>
        <v>0</v>
      </c>
      <c r="AJ49" s="115">
        <f>IF(AND($J49="Pro",'Tabulation Sheet'!$AC$46=0),SUM($U49:$AH49),0)</f>
        <v>0</v>
      </c>
      <c r="AK49" s="116">
        <f>IF('Tabulation Sheet'!$AI40=0,SUM($AF49:$AH49),0)</f>
        <v>0</v>
      </c>
      <c r="AL49" s="761"/>
    </row>
    <row r="50" spans="1:38" ht="20.149999999999999" customHeight="1" x14ac:dyDescent="0.7">
      <c r="A50" s="387"/>
      <c r="B50" s="265"/>
      <c r="C50" s="716"/>
      <c r="D50" s="717"/>
      <c r="E50" s="718"/>
      <c r="F50" s="264"/>
      <c r="G50" s="264"/>
      <c r="H50" s="264"/>
      <c r="I50" s="264"/>
      <c r="J50" s="264"/>
      <c r="K50" s="264"/>
      <c r="L50" s="264"/>
      <c r="M50" s="264"/>
      <c r="N50" s="264"/>
      <c r="O50" s="264"/>
      <c r="P50" s="264"/>
      <c r="Q50" s="264"/>
      <c r="R50" s="264"/>
      <c r="S50" s="264"/>
      <c r="T50" s="264"/>
      <c r="U50" s="128">
        <f>IF(AND($G50="Major",$I50="No",$L50="WD"),'Point Schedule'!$P$12,IF(AND($G50="Minor",$I50="No",$L50="WD"),'Point Schedule'!$O$12,IF(AND(G50="Major",$I50="No",L50="WB"),'Point Schedule'!$P$12,IF(AND(G50="Minor",$I50="No",L50="WB"),'Point Schedule'!$O$12,0))))</f>
        <v>0</v>
      </c>
      <c r="V50" s="128">
        <f>IF(AND(G50="Major",$I50="No",M50="Reserve"),'Point Schedule'!$O$14,0)</f>
        <v>0</v>
      </c>
      <c r="W50" s="128">
        <f>IF(AND(G50="Major",$I50="No",N50="BOW"),'Point Schedule'!$P$13,IF(AND(G50="Minor",$I50="No",N50="BOW"),'Point Schedule'!$O$13,0))</f>
        <v>0</v>
      </c>
      <c r="X50" s="128">
        <f>IF(AND($G50="Major",$O50="BOB",$H50="Nat'l Spec"),'Point Schedule'!$O$17,IF(AND($G50="Minor",$O50="BOB",$H50="Nat'l Spec"),'Point Schedule'!$O$17,IF(AND($G50="Major",$O50="BOB",$H50="Specialty"),'Point Schedule'!$P$10,IF(AND($G50="Minor",$O50="BOB",$H50="Specialty"),'Point Schedule'!$O$10,IF(AND($G50="Minor",$O50="BOB",$H50="Spec"),'Point Schedule'!$O$10,IF(AND($G50="Major",$O50="BOB",$H50="Non-Spec"),'Point Schedule'!$P$10,IF(AND($G50="Minor",$O50="BOB",$H50="Non-Spec"),'Point Schedule'!$O$10,0)))))))</f>
        <v>0</v>
      </c>
      <c r="Y50" s="128">
        <f>IF(AND($G50="Major",$P50="BOS",$H50="Nat'l Spec"),'Point Schedule'!$O$18,IF(AND($G50="Minor",$P50="BOS",$H50="Nat'l Spec"),'Point Schedule'!$O$18,IF(AND($G50="Major",$P50="BOS",$H50="Specialty"),'Point Schedule'!$P$10,IF(AND($G50="Minor",$P50="BOS",$H50="Specialty"),'Point Schedule'!$O$10,IF(AND($G50="Minor",$P50="BOS",$H50="Spec"),'Point Schedule'!$O$10,IF(AND($G50="Major",$P50="BOS",$H50="Non-Spec"),'Point Schedule'!$P$10,IF(AND($G50="Minor",$P50="BOS",$H50="Non-Spec"),'Point Schedule'!$O$10,0)))))))</f>
        <v>0</v>
      </c>
      <c r="Z50" s="128">
        <f>IF(AND($G50="Major",$I50="No",$O50="SD"),'Point Schedule'!$P$20,IF(AND($G50="Minor",$I50="No",$O50="SD"),'Point Schedule'!$O$20,IF(AND($G50="Major",$I50="No",$O50="SB"),'Point Schedule'!$P$20,IF(AND($G50="Minor",$I50="No",$O50="SB"),'Point Schedule'!$O$20,0))))</f>
        <v>0</v>
      </c>
      <c r="AA50" s="128">
        <f>IF(AND($G50="Major",$I50="No",$H50="Specialty",$O50="JAM"),'Point Schedule'!$P$20,IF(AND($G50="Minor",$I50="No",$H50="Nat'l Spec",$O50="JAM"),'Point Schedule'!$O$20,IF(AND($G50="Minor",$I50="No",$H50="Non-Spec",$O50="JAM"),'Point Schedule'!$O$20,IF(AND($G50="Minor",$I50="No",$H50="Specialty",$O50="JAM"),'Point Schedule'!$O$20,IF(AND($G50="Major",$H50="Nat'l Spec",$I50="No",$O50="JAM"),'Point Schedule'!$O$21,IF(AND($G50="Major",$I50="No",$H50="Non-Spec",$O50="JAM"),'Point Schedule'!$P$20,0))))))</f>
        <v>0</v>
      </c>
      <c r="AB50" s="128">
        <f>IF(AND(Q50="1st",$O50="BOB",$H50="Non-Spec"), 'Point Schedule'!$O$5, IF(AND(Q50="2nd",$O50="BOB",$H50="Non-Spec"),'Point Schedule'!$O$6, IF(AND(Q50="3rd",$O50="BOB",$H50="Non-Spec"), 'Point Schedule'!$O$7, IF(AND(Q50="4th",$O50="BOB",$H50="Non-Spec"), 'Point Schedule'!$O$8,0))))</f>
        <v>0</v>
      </c>
      <c r="AC50" s="128">
        <f>IF(AND(R50="BIS",$Q50="1st"),'Point Schedule'!$O$4,0)</f>
        <v>0</v>
      </c>
      <c r="AD50" s="128">
        <f>IF(AND($H50="Nat'l Spec",$I50="No",$K50="1st",'Tabulation Sheet'!$AI41=0,$G50="Major"),'Point Schedule'!$W$26,IF(AND($H50="Nat'l Spec",$I50="No",'Tabulation Sheet'!$AI41=0,$K50="1st",$G50="Minor"),'Point Schedule'!$V$26,IF(AND($H50="Specialty",$I50="No",'Tabulation Sheet'!$AI41=0,$K50="1st",$G50="Major"),'Point Schedule'!$O$15,IF(AND($H50="Specialty",$I50="No",'Tabulation Sheet'!$AI41=0,$K50="1st",$G50="Minor"),'Point Schedule'!$O$15,0))))</f>
        <v>0</v>
      </c>
      <c r="AE50" s="129">
        <f>IF(AND(H50="Nat'l Spec",L50="WD"),'Point Schedule'!$O$19,IF(AND(H50="Nat'l Spec",L50="WB"),'Point Schedule'!$O$19,0))</f>
        <v>0</v>
      </c>
      <c r="AF50" s="128">
        <f>IF(AND($H50="Nat'l Spec",$K50="1st",I50="Yes"),'Point Schedule'!$V$18,IF(AND($H50="Specialty",$K50="1st",I50="Yes"),'Point Schedule'!$V$15,0))</f>
        <v>0</v>
      </c>
      <c r="AG50" s="128">
        <f>IF(AND($H50="Nat'l Spec",$S50="BIS",$I50="Yes"),'Point Schedule'!$V$19,IF(AND($H50="Specialty",$S50="BIS",$I50="Yes"),'Point Schedule'!$V$16,0))</f>
        <v>0</v>
      </c>
      <c r="AH50" s="128">
        <f>IF(AND($H50="Nat'l Spec",$T50="BOSS",I50="Yes"),'Point Schedule'!$V$20,IF(AND($H50="Specialty",$T50="BOSS",$I50="Yes"),'Point Schedule'!$V$17,0))</f>
        <v>0</v>
      </c>
      <c r="AI50" s="115">
        <f t="shared" si="0"/>
        <v>0</v>
      </c>
      <c r="AJ50" s="115">
        <f>IF(AND($J50="Pro",'Tabulation Sheet'!$AC$46=0),SUM($U50:$AH50),0)</f>
        <v>0</v>
      </c>
      <c r="AK50" s="116">
        <f>IF('Tabulation Sheet'!$AI41=0,SUM($AF50:$AH50),0)</f>
        <v>0</v>
      </c>
      <c r="AL50" s="761"/>
    </row>
    <row r="51" spans="1:38" ht="20.149999999999999" customHeight="1" x14ac:dyDescent="0.7">
      <c r="A51" s="387"/>
      <c r="B51" s="265"/>
      <c r="C51" s="716"/>
      <c r="D51" s="717"/>
      <c r="E51" s="718"/>
      <c r="F51" s="264"/>
      <c r="G51" s="264"/>
      <c r="H51" s="264"/>
      <c r="I51" s="264"/>
      <c r="J51" s="264"/>
      <c r="K51" s="264"/>
      <c r="L51" s="264"/>
      <c r="M51" s="264"/>
      <c r="N51" s="264"/>
      <c r="O51" s="264"/>
      <c r="P51" s="264"/>
      <c r="Q51" s="264"/>
      <c r="R51" s="264"/>
      <c r="S51" s="264"/>
      <c r="T51" s="264"/>
      <c r="U51" s="128">
        <f>IF(AND($G51="Major",$I51="No",$L51="WD"),'Point Schedule'!$P$12,IF(AND($G51="Minor",$I51="No",$L51="WD"),'Point Schedule'!$O$12,IF(AND(G51="Major",$I51="No",L51="WB"),'Point Schedule'!$P$12,IF(AND(G51="Minor",$I51="No",L51="WB"),'Point Schedule'!$O$12,0))))</f>
        <v>0</v>
      </c>
      <c r="V51" s="128">
        <f>IF(AND(G51="Major",$I51="No",M51="Reserve"),'Point Schedule'!$O$14,0)</f>
        <v>0</v>
      </c>
      <c r="W51" s="128">
        <f>IF(AND(G51="Major",$I51="No",N51="BOW"),'Point Schedule'!$P$13,IF(AND(G51="Minor",$I51="No",N51="BOW"),'Point Schedule'!$O$13,0))</f>
        <v>0</v>
      </c>
      <c r="X51" s="128">
        <f>IF(AND($G51="Major",$O51="BOB",$H51="Nat'l Spec"),'Point Schedule'!$O$17,IF(AND($G51="Minor",$O51="BOB",$H51="Nat'l Spec"),'Point Schedule'!$O$17,IF(AND($G51="Major",$O51="BOB",$H51="Specialty"),'Point Schedule'!$P$10,IF(AND($G51="Minor",$O51="BOB",$H51="Specialty"),'Point Schedule'!$O$10,IF(AND($G51="Minor",$O51="BOB",$H51="Spec"),'Point Schedule'!$O$10,IF(AND($G51="Major",$O51="BOB",$H51="Non-Spec"),'Point Schedule'!$P$10,IF(AND($G51="Minor",$O51="BOB",$H51="Non-Spec"),'Point Schedule'!$O$10,0)))))))</f>
        <v>0</v>
      </c>
      <c r="Y51" s="128">
        <f>IF(AND($G51="Major",$P51="BOS",$H51="Nat'l Spec"),'Point Schedule'!$O$18,IF(AND($G51="Minor",$P51="BOS",$H51="Nat'l Spec"),'Point Schedule'!$O$18,IF(AND($G51="Major",$P51="BOS",$H51="Specialty"),'Point Schedule'!$P$10,IF(AND($G51="Minor",$P51="BOS",$H51="Specialty"),'Point Schedule'!$O$10,IF(AND($G51="Minor",$P51="BOS",$H51="Spec"),'Point Schedule'!$O$10,IF(AND($G51="Major",$P51="BOS",$H51="Non-Spec"),'Point Schedule'!$P$10,IF(AND($G51="Minor",$P51="BOS",$H51="Non-Spec"),'Point Schedule'!$O$10,0)))))))</f>
        <v>0</v>
      </c>
      <c r="Z51" s="128">
        <f>IF(AND($G51="Major",$I51="No",$O51="SD"),'Point Schedule'!$P$20,IF(AND($G51="Minor",$I51="No",$O51="SD"),'Point Schedule'!$O$20,IF(AND($G51="Major",$I51="No",$O51="SB"),'Point Schedule'!$P$20,IF(AND($G51="Minor",$I51="No",$O51="SB"),'Point Schedule'!$O$20,0))))</f>
        <v>0</v>
      </c>
      <c r="AA51" s="128">
        <f>IF(AND($G51="Major",$I51="No",$H51="Specialty",$O51="JAM"),'Point Schedule'!$P$20,IF(AND($G51="Minor",$I51="No",$H51="Nat'l Spec",$O51="JAM"),'Point Schedule'!$O$20,IF(AND($G51="Minor",$I51="No",$H51="Non-Spec",$O51="JAM"),'Point Schedule'!$O$20,IF(AND($G51="Minor",$I51="No",$H51="Specialty",$O51="JAM"),'Point Schedule'!$O$20,IF(AND($G51="Major",$H51="Nat'l Spec",$I51="No",$O51="JAM"),'Point Schedule'!$O$21,IF(AND($G51="Major",$I51="No",$H51="Non-Spec",$O51="JAM"),'Point Schedule'!$P$20,0))))))</f>
        <v>0</v>
      </c>
      <c r="AB51" s="128">
        <f>IF(AND(Q51="1st",$O51="BOB",$H51="Non-Spec"), 'Point Schedule'!$O$5, IF(AND(Q51="2nd",$O51="BOB",$H51="Non-Spec"),'Point Schedule'!$O$6, IF(AND(Q51="3rd",$O51="BOB",$H51="Non-Spec"), 'Point Schedule'!$O$7, IF(AND(Q51="4th",$O51="BOB",$H51="Non-Spec"), 'Point Schedule'!$O$8,0))))</f>
        <v>0</v>
      </c>
      <c r="AC51" s="128">
        <f>IF(AND(R51="BIS",$Q51="1st"),'Point Schedule'!$O$4,0)</f>
        <v>0</v>
      </c>
      <c r="AD51" s="128">
        <f>IF(AND($H51="Nat'l Spec",$I51="No",$K51="1st",'Tabulation Sheet'!$AI42=0,$G51="Major"),'Point Schedule'!$W$26,IF(AND($H51="Nat'l Spec",$I51="No",'Tabulation Sheet'!$AI42=0,$K51="1st",$G51="Minor"),'Point Schedule'!$V$26,IF(AND($H51="Specialty",$I51="No",'Tabulation Sheet'!$AI42=0,$K51="1st",$G51="Major"),'Point Schedule'!$O$15,IF(AND($H51="Specialty",$I51="No",'Tabulation Sheet'!$AI42=0,$K51="1st",$G51="Minor"),'Point Schedule'!$O$15,0))))</f>
        <v>0</v>
      </c>
      <c r="AE51" s="129">
        <f>IF(AND(H51="Nat'l Spec",L51="WD"),'Point Schedule'!$O$19,IF(AND(H51="Nat'l Spec",L51="WB"),'Point Schedule'!$O$19,0))</f>
        <v>0</v>
      </c>
      <c r="AF51" s="128">
        <f>IF(AND($H51="Nat'l Spec",$K51="1st",I51="Yes"),'Point Schedule'!$V$18,IF(AND($H51="Specialty",$K51="1st",I51="Yes"),'Point Schedule'!$V$15,0))</f>
        <v>0</v>
      </c>
      <c r="AG51" s="128">
        <f>IF(AND($H51="Nat'l Spec",$S51="BIS",$I51="Yes"),'Point Schedule'!$V$19,IF(AND($H51="Specialty",$S51="BIS",$I51="Yes"),'Point Schedule'!$V$16,0))</f>
        <v>0</v>
      </c>
      <c r="AH51" s="128">
        <f>IF(AND($H51="Nat'l Spec",$T51="BOSS",I51="Yes"),'Point Schedule'!$V$20,IF(AND($H51="Specialty",$T51="BOSS",$I51="Yes"),'Point Schedule'!$V$17,0))</f>
        <v>0</v>
      </c>
      <c r="AI51" s="115">
        <f t="shared" si="0"/>
        <v>0</v>
      </c>
      <c r="AJ51" s="115">
        <f>IF(AND($J51="Pro",'Tabulation Sheet'!$AC$46=0),SUM($U51:$AH51),0)</f>
        <v>0</v>
      </c>
      <c r="AK51" s="116">
        <f>IF('Tabulation Sheet'!$AI42=0,SUM($AF51:$AH51),0)</f>
        <v>0</v>
      </c>
      <c r="AL51" s="761"/>
    </row>
    <row r="52" spans="1:38" ht="20.149999999999999" customHeight="1" x14ac:dyDescent="0.7">
      <c r="A52" s="387"/>
      <c r="B52" s="265"/>
      <c r="C52" s="716"/>
      <c r="D52" s="717"/>
      <c r="E52" s="718"/>
      <c r="F52" s="264"/>
      <c r="G52" s="264"/>
      <c r="H52" s="264"/>
      <c r="I52" s="264"/>
      <c r="J52" s="264"/>
      <c r="K52" s="264"/>
      <c r="L52" s="264"/>
      <c r="M52" s="264"/>
      <c r="N52" s="264"/>
      <c r="O52" s="264"/>
      <c r="P52" s="264"/>
      <c r="Q52" s="264"/>
      <c r="R52" s="264"/>
      <c r="S52" s="264"/>
      <c r="T52" s="264"/>
      <c r="U52" s="128">
        <f>IF(AND($G52="Major",$I52="No",$L52="WD"),'Point Schedule'!$P$12,IF(AND($G52="Minor",$I52="No",$L52="WD"),'Point Schedule'!$O$12,IF(AND(G52="Major",$I52="No",L52="WB"),'Point Schedule'!$P$12,IF(AND(G52="Minor",$I52="No",L52="WB"),'Point Schedule'!$O$12,0))))</f>
        <v>0</v>
      </c>
      <c r="V52" s="128">
        <f>IF(AND(G52="Major",$I52="No",M52="Reserve"),'Point Schedule'!$O$14,0)</f>
        <v>0</v>
      </c>
      <c r="W52" s="128">
        <f>IF(AND(G52="Major",$I52="No",N52="BOW"),'Point Schedule'!$P$13,IF(AND(G52="Minor",$I52="No",N52="BOW"),'Point Schedule'!$O$13,0))</f>
        <v>0</v>
      </c>
      <c r="X52" s="128">
        <f>IF(AND($G52="Major",$O52="BOB",$H52="Nat'l Spec"),'Point Schedule'!$O$17,IF(AND($G52="Minor",$O52="BOB",$H52="Nat'l Spec"),'Point Schedule'!$O$17,IF(AND($G52="Major",$O52="BOB",$H52="Specialty"),'Point Schedule'!$P$10,IF(AND($G52="Minor",$O52="BOB",$H52="Specialty"),'Point Schedule'!$O$10,IF(AND($G52="Minor",$O52="BOB",$H52="Spec"),'Point Schedule'!$O$10,IF(AND($G52="Major",$O52="BOB",$H52="Non-Spec"),'Point Schedule'!$P$10,IF(AND($G52="Minor",$O52="BOB",$H52="Non-Spec"),'Point Schedule'!$O$10,0)))))))</f>
        <v>0</v>
      </c>
      <c r="Y52" s="128">
        <f>IF(AND($G52="Major",$P52="BOS",$H52="Nat'l Spec"),'Point Schedule'!$O$18,IF(AND($G52="Minor",$P52="BOS",$H52="Nat'l Spec"),'Point Schedule'!$O$18,IF(AND($G52="Major",$P52="BOS",$H52="Specialty"),'Point Schedule'!$P$10,IF(AND($G52="Minor",$P52="BOS",$H52="Specialty"),'Point Schedule'!$O$10,IF(AND($G52="Minor",$P52="BOS",$H52="Spec"),'Point Schedule'!$O$10,IF(AND($G52="Major",$P52="BOS",$H52="Non-Spec"),'Point Schedule'!$P$10,IF(AND($G52="Minor",$P52="BOS",$H52="Non-Spec"),'Point Schedule'!$O$10,0)))))))</f>
        <v>0</v>
      </c>
      <c r="Z52" s="128">
        <f>IF(AND($G52="Major",$I52="No",$O52="SD"),'Point Schedule'!$P$20,IF(AND($G52="Minor",$I52="No",$O52="SD"),'Point Schedule'!$O$20,IF(AND($G52="Major",$I52="No",$O52="SB"),'Point Schedule'!$P$20,IF(AND($G52="Minor",$I52="No",$O52="SB"),'Point Schedule'!$O$20,0))))</f>
        <v>0</v>
      </c>
      <c r="AA52" s="128">
        <f>IF(AND($G52="Major",$I52="No",$H52="Specialty",$O52="JAM"),'Point Schedule'!$P$20,IF(AND($G52="Minor",$I52="No",$H52="Nat'l Spec",$O52="JAM"),'Point Schedule'!$O$20,IF(AND($G52="Minor",$I52="No",$H52="Non-Spec",$O52="JAM"),'Point Schedule'!$O$20,IF(AND($G52="Minor",$I52="No",$H52="Specialty",$O52="JAM"),'Point Schedule'!$O$20,IF(AND($G52="Major",$H52="Nat'l Spec",$I52="No",$O52="JAM"),'Point Schedule'!$O$21,IF(AND($G52="Major",$I52="No",$H52="Non-Spec",$O52="JAM"),'Point Schedule'!$P$20,0))))))</f>
        <v>0</v>
      </c>
      <c r="AB52" s="128">
        <f>IF(AND(Q52="1st",$O52="BOB",$H52="Non-Spec"), 'Point Schedule'!$O$5, IF(AND(Q52="2nd",$O52="BOB",$H52="Non-Spec"),'Point Schedule'!$O$6, IF(AND(Q52="3rd",$O52="BOB",$H52="Non-Spec"), 'Point Schedule'!$O$7, IF(AND(Q52="4th",$O52="BOB",$H52="Non-Spec"), 'Point Schedule'!$O$8,0))))</f>
        <v>0</v>
      </c>
      <c r="AC52" s="128">
        <f>IF(AND(R52="BIS",$Q52="1st"),'Point Schedule'!$O$4,0)</f>
        <v>0</v>
      </c>
      <c r="AD52" s="128">
        <f>IF(AND($H52="Nat'l Spec",$I52="No",$K52="1st",'Tabulation Sheet'!$AI43=0,$G52="Major"),'Point Schedule'!$W$26,IF(AND($H52="Nat'l Spec",$I52="No",'Tabulation Sheet'!$AI43=0,$K52="1st",$G52="Minor"),'Point Schedule'!$V$26,IF(AND($H52="Specialty",$I52="No",'Tabulation Sheet'!$AI43=0,$K52="1st",$G52="Major"),'Point Schedule'!$O$15,IF(AND($H52="Specialty",$I52="No",'Tabulation Sheet'!$AI43=0,$K52="1st",$G52="Minor"),'Point Schedule'!$O$15,0))))</f>
        <v>0</v>
      </c>
      <c r="AE52" s="129">
        <f>IF(AND(H52="Nat'l Spec",L52="WD"),'Point Schedule'!$O$19,IF(AND(H52="Nat'l Spec",L52="WB"),'Point Schedule'!$O$19,0))</f>
        <v>0</v>
      </c>
      <c r="AF52" s="128">
        <f>IF(AND($H52="Nat'l Spec",$K52="1st",I52="Yes"),'Point Schedule'!$V$18,IF(AND($H52="Specialty",$K52="1st",I52="Yes"),'Point Schedule'!$V$15,0))</f>
        <v>0</v>
      </c>
      <c r="AG52" s="128">
        <f>IF(AND($H52="Nat'l Spec",$S52="BIS",$I52="Yes"),'Point Schedule'!$V$19,IF(AND($H52="Specialty",$S52="BIS",$I52="Yes"),'Point Schedule'!$V$16,0))</f>
        <v>0</v>
      </c>
      <c r="AH52" s="128">
        <f>IF(AND($H52="Nat'l Spec",$T52="BOSS",I52="Yes"),'Point Schedule'!$V$20,IF(AND($H52="Specialty",$T52="BOSS",$I52="Yes"),'Point Schedule'!$V$17,0))</f>
        <v>0</v>
      </c>
      <c r="AI52" s="115">
        <f t="shared" si="0"/>
        <v>0</v>
      </c>
      <c r="AJ52" s="115">
        <f>IF(AND($J52="Pro",'Tabulation Sheet'!$AC$46=0),SUM($U52:$AH52),0)</f>
        <v>0</v>
      </c>
      <c r="AK52" s="116">
        <f>IF('Tabulation Sheet'!$AI43=0,SUM($AF52:$AH52),0)</f>
        <v>0</v>
      </c>
      <c r="AL52" s="761"/>
    </row>
    <row r="53" spans="1:38" ht="20.149999999999999" customHeight="1" x14ac:dyDescent="0.7">
      <c r="A53" s="387"/>
      <c r="B53" s="265"/>
      <c r="C53" s="716"/>
      <c r="D53" s="717"/>
      <c r="E53" s="718"/>
      <c r="F53" s="264"/>
      <c r="G53" s="264"/>
      <c r="H53" s="264"/>
      <c r="I53" s="264"/>
      <c r="J53" s="264"/>
      <c r="K53" s="264"/>
      <c r="L53" s="264"/>
      <c r="M53" s="264"/>
      <c r="N53" s="264"/>
      <c r="O53" s="264"/>
      <c r="P53" s="264"/>
      <c r="Q53" s="264"/>
      <c r="R53" s="264"/>
      <c r="S53" s="264"/>
      <c r="T53" s="264"/>
      <c r="U53" s="128">
        <f>IF(AND($G53="Major",$I53="No",$L53="WD"),'Point Schedule'!$P$12,IF(AND($G53="Minor",$I53="No",$L53="WD"),'Point Schedule'!$O$12,IF(AND(G53="Major",$I53="No",L53="WB"),'Point Schedule'!$P$12,IF(AND(G53="Minor",$I53="No",L53="WB"),'Point Schedule'!$O$12,0))))</f>
        <v>0</v>
      </c>
      <c r="V53" s="128">
        <f>IF(AND(G53="Major",$I53="No",M53="Reserve"),'Point Schedule'!$O$14,0)</f>
        <v>0</v>
      </c>
      <c r="W53" s="128">
        <f>IF(AND(G53="Major",$I53="No",N53="BOW"),'Point Schedule'!$P$13,IF(AND(G53="Minor",$I53="No",N53="BOW"),'Point Schedule'!$O$13,0))</f>
        <v>0</v>
      </c>
      <c r="X53" s="128">
        <f>IF(AND($G53="Major",$O53="BOB",$H53="Nat'l Spec"),'Point Schedule'!$O$17,IF(AND($G53="Minor",$O53="BOB",$H53="Nat'l Spec"),'Point Schedule'!$O$17,IF(AND($G53="Major",$O53="BOB",$H53="Specialty"),'Point Schedule'!$P$10,IF(AND($G53="Minor",$O53="BOB",$H53="Specialty"),'Point Schedule'!$O$10,IF(AND($G53="Minor",$O53="BOB",$H53="Spec"),'Point Schedule'!$O$10,IF(AND($G53="Major",$O53="BOB",$H53="Non-Spec"),'Point Schedule'!$P$10,IF(AND($G53="Minor",$O53="BOB",$H53="Non-Spec"),'Point Schedule'!$O$10,0)))))))</f>
        <v>0</v>
      </c>
      <c r="Y53" s="128">
        <f>IF(AND($G53="Major",$P53="BOS",$H53="Nat'l Spec"),'Point Schedule'!$O$18,IF(AND($G53="Minor",$P53="BOS",$H53="Nat'l Spec"),'Point Schedule'!$O$18,IF(AND($G53="Major",$P53="BOS",$H53="Specialty"),'Point Schedule'!$P$10,IF(AND($G53="Minor",$P53="BOS",$H53="Specialty"),'Point Schedule'!$O$10,IF(AND($G53="Minor",$P53="BOS",$H53="Spec"),'Point Schedule'!$O$10,IF(AND($G53="Major",$P53="BOS",$H53="Non-Spec"),'Point Schedule'!$P$10,IF(AND($G53="Minor",$P53="BOS",$H53="Non-Spec"),'Point Schedule'!$O$10,0)))))))</f>
        <v>0</v>
      </c>
      <c r="Z53" s="128">
        <f>IF(AND($G53="Major",$I53="No",$O53="SD"),'Point Schedule'!$P$20,IF(AND($G53="Minor",$I53="No",$O53="SD"),'Point Schedule'!$O$20,IF(AND($G53="Major",$I53="No",$O53="SB"),'Point Schedule'!$P$20,IF(AND($G53="Minor",$I53="No",$O53="SB"),'Point Schedule'!$O$20,0))))</f>
        <v>0</v>
      </c>
      <c r="AA53" s="128">
        <f>IF(AND($G53="Major",$I53="No",$H53="Specialty",$O53="JAM"),'Point Schedule'!$P$20,IF(AND($G53="Minor",$I53="No",$H53="Nat'l Spec",$O53="JAM"),'Point Schedule'!$O$20,IF(AND($G53="Minor",$I53="No",$H53="Non-Spec",$O53="JAM"),'Point Schedule'!$O$20,IF(AND($G53="Minor",$I53="No",$H53="Specialty",$O53="JAM"),'Point Schedule'!$O$20,IF(AND($G53="Major",$H53="Nat'l Spec",$I53="No",$O53="JAM"),'Point Schedule'!$O$21,IF(AND($G53="Major",$I53="No",$H53="Non-Spec",$O53="JAM"),'Point Schedule'!$P$20,0))))))</f>
        <v>0</v>
      </c>
      <c r="AB53" s="128">
        <f>IF(AND(Q53="1st",$O53="BOB",$H53="Non-Spec"), 'Point Schedule'!$O$5, IF(AND(Q53="2nd",$O53="BOB",$H53="Non-Spec"),'Point Schedule'!$O$6, IF(AND(Q53="3rd",$O53="BOB",$H53="Non-Spec"), 'Point Schedule'!$O$7, IF(AND(Q53="4th",$O53="BOB",$H53="Non-Spec"), 'Point Schedule'!$O$8,0))))</f>
        <v>0</v>
      </c>
      <c r="AC53" s="128">
        <f>IF(AND(R53="BIS",$Q53="1st"),'Point Schedule'!$O$4,0)</f>
        <v>0</v>
      </c>
      <c r="AD53" s="128">
        <f>IF(AND($H53="Nat'l Spec",$I53="No",$K53="1st",'Tabulation Sheet'!$AI44=0,$G53="Major"),'Point Schedule'!$W$26,IF(AND($H53="Nat'l Spec",$I53="No",'Tabulation Sheet'!$AI44=0,$K53="1st",$G53="Minor"),'Point Schedule'!$V$26,IF(AND($H53="Specialty",$I53="No",'Tabulation Sheet'!$AI44=0,$K53="1st",$G53="Major"),'Point Schedule'!$O$15,IF(AND($H53="Specialty",$I53="No",'Tabulation Sheet'!$AI44=0,$K53="1st",$G53="Minor"),'Point Schedule'!$O$15,0))))</f>
        <v>0</v>
      </c>
      <c r="AE53" s="129">
        <f>IF(AND(H53="Nat'l Spec",L53="WD"),'Point Schedule'!$O$19,IF(AND(H53="Nat'l Spec",L53="WB"),'Point Schedule'!$O$19,0))</f>
        <v>0</v>
      </c>
      <c r="AF53" s="128">
        <f>IF(AND($H53="Nat'l Spec",$K53="1st",I53="Yes"),'Point Schedule'!$V$18,IF(AND($H53="Specialty",$K53="1st",I53="Yes"),'Point Schedule'!$V$15,0))</f>
        <v>0</v>
      </c>
      <c r="AG53" s="128">
        <f>IF(AND($H53="Nat'l Spec",$S53="BIS",$I53="Yes"),'Point Schedule'!$V$19,IF(AND($H53="Specialty",$S53="BIS",$I53="Yes"),'Point Schedule'!$V$16,0))</f>
        <v>0</v>
      </c>
      <c r="AH53" s="128">
        <f>IF(AND($H53="Nat'l Spec",$T53="BOSS",I53="Yes"),'Point Schedule'!$V$20,IF(AND($H53="Specialty",$T53="BOSS",$I53="Yes"),'Point Schedule'!$V$17,0))</f>
        <v>0</v>
      </c>
      <c r="AI53" s="115">
        <f t="shared" si="0"/>
        <v>0</v>
      </c>
      <c r="AJ53" s="115">
        <f>IF(AND($J53="Pro",'Tabulation Sheet'!$AC$46=0),SUM($U53:$AH53),0)</f>
        <v>0</v>
      </c>
      <c r="AK53" s="116">
        <f>IF('Tabulation Sheet'!$AI44=0,SUM($AF53:$AH53),0)</f>
        <v>0</v>
      </c>
      <c r="AL53" s="761"/>
    </row>
    <row r="54" spans="1:38" ht="20.149999999999999" customHeight="1" x14ac:dyDescent="0.7">
      <c r="A54" s="387"/>
      <c r="B54" s="265"/>
      <c r="C54" s="716"/>
      <c r="D54" s="717"/>
      <c r="E54" s="718"/>
      <c r="F54" s="264"/>
      <c r="G54" s="264"/>
      <c r="H54" s="264"/>
      <c r="I54" s="264"/>
      <c r="J54" s="264"/>
      <c r="K54" s="264"/>
      <c r="L54" s="264"/>
      <c r="M54" s="264"/>
      <c r="N54" s="264"/>
      <c r="O54" s="264"/>
      <c r="P54" s="264"/>
      <c r="Q54" s="264"/>
      <c r="R54" s="264"/>
      <c r="S54" s="264"/>
      <c r="T54" s="264"/>
      <c r="U54" s="128">
        <f>IF(AND($G54="Major",$I54="No",$L54="WD"),'Point Schedule'!$P$12,IF(AND($G54="Minor",$I54="No",$L54="WD"),'Point Schedule'!$O$12,IF(AND(G54="Major",$I54="No",L54="WB"),'Point Schedule'!$P$12,IF(AND(G54="Minor",$I54="No",L54="WB"),'Point Schedule'!$O$12,0))))</f>
        <v>0</v>
      </c>
      <c r="V54" s="128">
        <f>IF(AND(G54="Major",$I54="No",M54="Reserve"),'Point Schedule'!$O$14,0)</f>
        <v>0</v>
      </c>
      <c r="W54" s="128">
        <f>IF(AND(G54="Major",$I54="No",N54="BOW"),'Point Schedule'!$P$13,IF(AND(G54="Minor",$I54="No",N54="BOW"),'Point Schedule'!$O$13,0))</f>
        <v>0</v>
      </c>
      <c r="X54" s="128">
        <f>IF(AND($G54="Major",$O54="BOB",$H54="Nat'l Spec"),'Point Schedule'!$O$17,IF(AND($G54="Minor",$O54="BOB",$H54="Nat'l Spec"),'Point Schedule'!$O$17,IF(AND($G54="Major",$O54="BOB",$H54="Specialty"),'Point Schedule'!$P$10,IF(AND($G54="Minor",$O54="BOB",$H54="Specialty"),'Point Schedule'!$O$10,IF(AND($G54="Minor",$O54="BOB",$H54="Spec"),'Point Schedule'!$O$10,IF(AND($G54="Major",$O54="BOB",$H54="Non-Spec"),'Point Schedule'!$P$10,IF(AND($G54="Minor",$O54="BOB",$H54="Non-Spec"),'Point Schedule'!$O$10,0)))))))</f>
        <v>0</v>
      </c>
      <c r="Y54" s="128">
        <f>IF(AND($G54="Major",$P54="BOS",$H54="Nat'l Spec"),'Point Schedule'!$O$18,IF(AND($G54="Minor",$P54="BOS",$H54="Nat'l Spec"),'Point Schedule'!$O$18,IF(AND($G54="Major",$P54="BOS",$H54="Specialty"),'Point Schedule'!$P$10,IF(AND($G54="Minor",$P54="BOS",$H54="Specialty"),'Point Schedule'!$O$10,IF(AND($G54="Minor",$P54="BOS",$H54="Spec"),'Point Schedule'!$O$10,IF(AND($G54="Major",$P54="BOS",$H54="Non-Spec"),'Point Schedule'!$P$10,IF(AND($G54="Minor",$P54="BOS",$H54="Non-Spec"),'Point Schedule'!$O$10,0)))))))</f>
        <v>0</v>
      </c>
      <c r="Z54" s="128">
        <f>IF(AND($G54="Major",$I54="No",$O54="SD"),'Point Schedule'!$P$20,IF(AND($G54="Minor",$I54="No",$O54="SD"),'Point Schedule'!$O$20,IF(AND($G54="Major",$I54="No",$O54="SB"),'Point Schedule'!$P$20,IF(AND($G54="Minor",$I54="No",$O54="SB"),'Point Schedule'!$O$20,0))))</f>
        <v>0</v>
      </c>
      <c r="AA54" s="128">
        <f>IF(AND($G54="Major",$I54="No",$H54="Specialty",$O54="JAM"),'Point Schedule'!$P$20,IF(AND($G54="Minor",$I54="No",$H54="Nat'l Spec",$O54="JAM"),'Point Schedule'!$O$20,IF(AND($G54="Minor",$I54="No",$H54="Non-Spec",$O54="JAM"),'Point Schedule'!$O$20,IF(AND($G54="Minor",$I54="No",$H54="Specialty",$O54="JAM"),'Point Schedule'!$O$20,IF(AND($G54="Major",$H54="Nat'l Spec",$I54="No",$O54="JAM"),'Point Schedule'!$O$21,IF(AND($G54="Major",$I54="No",$H54="Non-Spec",$O54="JAM"),'Point Schedule'!$P$20,0))))))</f>
        <v>0</v>
      </c>
      <c r="AB54" s="128">
        <f>IF(AND(Q54="1st",$O54="BOB",$H54="Non-Spec"), 'Point Schedule'!$O$5, IF(AND(Q54="2nd",$O54="BOB",$H54="Non-Spec"),'Point Schedule'!$O$6, IF(AND(Q54="3rd",$O54="BOB",$H54="Non-Spec"), 'Point Schedule'!$O$7, IF(AND(Q54="4th",$O54="BOB",$H54="Non-Spec"), 'Point Schedule'!$O$8,0))))</f>
        <v>0</v>
      </c>
      <c r="AC54" s="128">
        <f>IF(AND(R54="BIS",$Q54="1st"),'Point Schedule'!$O$4,0)</f>
        <v>0</v>
      </c>
      <c r="AD54" s="128">
        <f>IF(AND($H54="Nat'l Spec",$I54="No",$K54="1st",'Tabulation Sheet'!$AI45=0,$G54="Major"),'Point Schedule'!$W$26,IF(AND($H54="Nat'l Spec",$I54="No",'Tabulation Sheet'!$AI45=0,$K54="1st",$G54="Minor"),'Point Schedule'!$V$26,IF(AND($H54="Specialty",$I54="No",'Tabulation Sheet'!$AI45=0,$K54="1st",$G54="Major"),'Point Schedule'!$O$15,IF(AND($H54="Specialty",$I54="No",'Tabulation Sheet'!$AI45=0,$K54="1st",$G54="Minor"),'Point Schedule'!$O$15,0))))</f>
        <v>0</v>
      </c>
      <c r="AE54" s="129">
        <f>IF(AND(H54="Nat'l Spec",L54="WD"),'Point Schedule'!$O$19,IF(AND(H54="Nat'l Spec",L54="WB"),'Point Schedule'!$O$19,0))</f>
        <v>0</v>
      </c>
      <c r="AF54" s="128">
        <f>IF(AND($H54="Nat'l Spec",$K54="1st",I54="Yes"),'Point Schedule'!$V$18,IF(AND($H54="Specialty",$K54="1st",I54="Yes"),'Point Schedule'!$V$15,0))</f>
        <v>0</v>
      </c>
      <c r="AG54" s="128">
        <f>IF(AND($H54="Nat'l Spec",$S54="BIS",$I54="Yes"),'Point Schedule'!$V$19,IF(AND($H54="Specialty",$S54="BIS",$I54="Yes"),'Point Schedule'!$V$16,0))</f>
        <v>0</v>
      </c>
      <c r="AH54" s="128">
        <f>IF(AND($H54="Nat'l Spec",$T54="BOSS",I54="Yes"),'Point Schedule'!$V$20,IF(AND($H54="Specialty",$T54="BOSS",$I54="Yes"),'Point Schedule'!$V$17,0))</f>
        <v>0</v>
      </c>
      <c r="AI54" s="115">
        <f t="shared" si="0"/>
        <v>0</v>
      </c>
      <c r="AJ54" s="115">
        <f>IF(AND($J54="Pro",'Tabulation Sheet'!$AC$46=0),SUM($U54:$AH54),0)</f>
        <v>0</v>
      </c>
      <c r="AK54" s="116">
        <f>IF('Tabulation Sheet'!$AI45=0,SUM($AF54:$AH54),0)</f>
        <v>0</v>
      </c>
      <c r="AL54" s="761"/>
    </row>
    <row r="55" spans="1:38" ht="20.149999999999999" customHeight="1" x14ac:dyDescent="0.7">
      <c r="A55" s="387"/>
      <c r="B55" s="265"/>
      <c r="C55" s="716"/>
      <c r="D55" s="717"/>
      <c r="E55" s="718"/>
      <c r="F55" s="264"/>
      <c r="G55" s="264"/>
      <c r="H55" s="264"/>
      <c r="I55" s="264"/>
      <c r="J55" s="264"/>
      <c r="K55" s="264"/>
      <c r="L55" s="264"/>
      <c r="M55" s="264"/>
      <c r="N55" s="264"/>
      <c r="O55" s="264"/>
      <c r="P55" s="264"/>
      <c r="Q55" s="264"/>
      <c r="R55" s="264"/>
      <c r="S55" s="264"/>
      <c r="T55" s="264"/>
      <c r="U55" s="128">
        <f>IF(AND($G55="Major",$I55="No",$L55="WD"),'Point Schedule'!$P$12,IF(AND($G55="Minor",$I55="No",$L55="WD"),'Point Schedule'!$O$12,IF(AND(G55="Major",$I55="No",L55="WB"),'Point Schedule'!$P$12,IF(AND(G55="Minor",$I55="No",L55="WB"),'Point Schedule'!$O$12,0))))</f>
        <v>0</v>
      </c>
      <c r="V55" s="128">
        <f>IF(AND(G55="Major",$I55="No",M55="Reserve"),'Point Schedule'!$O$14,0)</f>
        <v>0</v>
      </c>
      <c r="W55" s="128">
        <f>IF(AND(G55="Major",$I55="No",N55="BOW"),'Point Schedule'!$P$13,IF(AND(G55="Minor",$I55="No",N55="BOW"),'Point Schedule'!$O$13,0))</f>
        <v>0</v>
      </c>
      <c r="X55" s="128">
        <f>IF(AND($G55="Major",$O55="BOB",$H55="Nat'l Spec"),'Point Schedule'!$O$17,IF(AND($G55="Minor",$O55="BOB",$H55="Nat'l Spec"),'Point Schedule'!$O$17,IF(AND($G55="Major",$O55="BOB",$H55="Specialty"),'Point Schedule'!$P$10,IF(AND($G55="Minor",$O55="BOB",$H55="Specialty"),'Point Schedule'!$O$10,IF(AND($G55="Minor",$O55="BOB",$H55="Spec"),'Point Schedule'!$O$10,IF(AND($G55="Major",$O55="BOB",$H55="Non-Spec"),'Point Schedule'!$P$10,IF(AND($G55="Minor",$O55="BOB",$H55="Non-Spec"),'Point Schedule'!$O$10,0)))))))</f>
        <v>0</v>
      </c>
      <c r="Y55" s="128">
        <f>IF(AND($G55="Major",$P55="BOS",$H55="Nat'l Spec"),'Point Schedule'!$O$18,IF(AND($G55="Minor",$P55="BOS",$H55="Nat'l Spec"),'Point Schedule'!$O$18,IF(AND($G55="Major",$P55="BOS",$H55="Specialty"),'Point Schedule'!$P$10,IF(AND($G55="Minor",$P55="BOS",$H55="Specialty"),'Point Schedule'!$O$10,IF(AND($G55="Minor",$P55="BOS",$H55="Spec"),'Point Schedule'!$O$10,IF(AND($G55="Major",$P55="BOS",$H55="Non-Spec"),'Point Schedule'!$P$10,IF(AND($G55="Minor",$P55="BOS",$H55="Non-Spec"),'Point Schedule'!$O$10,0)))))))</f>
        <v>0</v>
      </c>
      <c r="Z55" s="128">
        <f>IF(AND($G55="Major",$I55="No",$O55="SD"),'Point Schedule'!$P$20,IF(AND($G55="Minor",$I55="No",$O55="SD"),'Point Schedule'!$O$20,IF(AND($G55="Major",$I55="No",$O55="SB"),'Point Schedule'!$P$20,IF(AND($G55="Minor",$I55="No",$O55="SB"),'Point Schedule'!$O$20,0))))</f>
        <v>0</v>
      </c>
      <c r="AA55" s="128">
        <f>IF(AND($G55="Major",$I55="No",$H55="Specialty",$O55="JAM"),'Point Schedule'!$P$20,IF(AND($G55="Minor",$I55="No",$H55="Nat'l Spec",$O55="JAM"),'Point Schedule'!$O$20,IF(AND($G55="Minor",$I55="No",$H55="Non-Spec",$O55="JAM"),'Point Schedule'!$O$20,IF(AND($G55="Minor",$I55="No",$H55="Specialty",$O55="JAM"),'Point Schedule'!$O$20,IF(AND($G55="Major",$H55="Nat'l Spec",$I55="No",$O55="JAM"),'Point Schedule'!$O$21,IF(AND($G55="Major",$I55="No",$H55="Non-Spec",$O55="JAM"),'Point Schedule'!$P$20,0))))))</f>
        <v>0</v>
      </c>
      <c r="AB55" s="128">
        <f>IF(AND(Q55="1st",$O55="BOB",$H55="Non-Spec"), 'Point Schedule'!$O$5, IF(AND(Q55="2nd",$O55="BOB",$H55="Non-Spec"),'Point Schedule'!$O$6, IF(AND(Q55="3rd",$O55="BOB",$H55="Non-Spec"), 'Point Schedule'!$O$7, IF(AND(Q55="4th",$O55="BOB",$H55="Non-Spec"), 'Point Schedule'!$O$8,0))))</f>
        <v>0</v>
      </c>
      <c r="AC55" s="128">
        <f>IF(AND(R55="BIS",$Q55="1st"),'Point Schedule'!$O$4,0)</f>
        <v>0</v>
      </c>
      <c r="AD55" s="128">
        <f>IF(AND($H55="Nat'l Spec",$I55="No",$K55="1st",'Tabulation Sheet'!$AI46=0,$G55="Major"),'Point Schedule'!$W$26,IF(AND($H55="Nat'l Spec",$I55="No",'Tabulation Sheet'!$AI46=0,$K55="1st",$G55="Minor"),'Point Schedule'!$V$26,IF(AND($H55="Specialty",$I55="No",'Tabulation Sheet'!$AI46=0,$K55="1st",$G55="Major"),'Point Schedule'!$O$15,IF(AND($H55="Specialty",$I55="No",'Tabulation Sheet'!$AI46=0,$K55="1st",$G55="Minor"),'Point Schedule'!$O$15,0))))</f>
        <v>0</v>
      </c>
      <c r="AE55" s="129">
        <f>IF(AND(H55="Nat'l Spec",L55="WD"),'Point Schedule'!$O$19,IF(AND(H55="Nat'l Spec",L55="WB"),'Point Schedule'!$O$19,0))</f>
        <v>0</v>
      </c>
      <c r="AF55" s="128">
        <f>IF(AND($H55="Nat'l Spec",$K55="1st",I55="Yes"),'Point Schedule'!$V$18,IF(AND($H55="Specialty",$K55="1st",I55="Yes"),'Point Schedule'!$V$15,0))</f>
        <v>0</v>
      </c>
      <c r="AG55" s="128">
        <f>IF(AND($H55="Nat'l Spec",$S55="BIS",$I55="Yes"),'Point Schedule'!$V$19,IF(AND($H55="Specialty",$S55="BIS",$I55="Yes"),'Point Schedule'!$V$16,0))</f>
        <v>0</v>
      </c>
      <c r="AH55" s="128">
        <f>IF(AND($H55="Nat'l Spec",$T55="BOSS",I55="Yes"),'Point Schedule'!$V$20,IF(AND($H55="Specialty",$T55="BOSS",$I55="Yes"),'Point Schedule'!$V$17,0))</f>
        <v>0</v>
      </c>
      <c r="AI55" s="115">
        <f t="shared" si="0"/>
        <v>0</v>
      </c>
      <c r="AJ55" s="115">
        <f>IF(AND($J55="Pro",'Tabulation Sheet'!$AC$46=0),SUM($U55:$AH55),0)</f>
        <v>0</v>
      </c>
      <c r="AK55" s="116">
        <f>IF('Tabulation Sheet'!$AI46=0,SUM($AF55:$AH55),0)</f>
        <v>0</v>
      </c>
      <c r="AL55" s="761"/>
    </row>
    <row r="56" spans="1:38" ht="20.149999999999999" customHeight="1" thickBot="1" x14ac:dyDescent="0.85">
      <c r="A56" s="387"/>
      <c r="B56" s="266"/>
      <c r="C56" s="719"/>
      <c r="D56" s="720"/>
      <c r="E56" s="721"/>
      <c r="F56" s="267"/>
      <c r="G56" s="268"/>
      <c r="H56" s="268"/>
      <c r="I56" s="268"/>
      <c r="J56" s="268"/>
      <c r="K56" s="268"/>
      <c r="L56" s="268"/>
      <c r="M56" s="268"/>
      <c r="N56" s="268"/>
      <c r="O56" s="268"/>
      <c r="P56" s="268"/>
      <c r="Q56" s="268"/>
      <c r="R56" s="268"/>
      <c r="S56" s="267"/>
      <c r="T56" s="267"/>
      <c r="U56" s="128">
        <f>IF(AND($G56="Major",$I56="No",$L56="WD"),'Point Schedule'!$P$12,IF(AND($G56="Minor",$I56="No",$L56="WD"),'Point Schedule'!$O$12,IF(AND(G56="Major",$I56="No",L56="WB"),'Point Schedule'!$P$12,IF(AND(G56="Minor",$I56="No",L56="WB"),'Point Schedule'!$O$12,0))))</f>
        <v>0</v>
      </c>
      <c r="V56" s="128">
        <f>IF(AND(G56="Major",$I56="No",M56="Reserve"),'Point Schedule'!$O$14,0)</f>
        <v>0</v>
      </c>
      <c r="W56" s="128">
        <f>IF(AND(G56="Major",$I56="No",N56="BOW"),'Point Schedule'!$P$13,IF(AND(G56="Minor",$I56="No",N56="BOW"),'Point Schedule'!$O$13,0))</f>
        <v>0</v>
      </c>
      <c r="X56" s="128">
        <f>IF(AND($G56="Major",$O56="BOB",$H56="Nat'l Spec"),'Point Schedule'!$O$17,IF(AND($G56="Minor",$O56="BOB",$H56="Nat'l Spec"),'Point Schedule'!$O$17,IF(AND($G56="Major",$O56="BOB",$H56="Specialty"),'Point Schedule'!$P$10,IF(AND($G56="Minor",$O56="BOB",$H56="Specialty"),'Point Schedule'!$O$10,IF(AND($G56="Minor",$O56="BOB",$H56="Spec"),'Point Schedule'!$O$10,IF(AND($G56="Major",$O56="BOB",$H56="Non-Spec"),'Point Schedule'!$P$10,IF(AND($G56="Minor",$O56="BOB",$H56="Non-Spec"),'Point Schedule'!$O$10,0)))))))</f>
        <v>0</v>
      </c>
      <c r="Y56" s="128">
        <f>IF(AND($G56="Major",$P56="BOS",$H56="Nat'l Spec"),'Point Schedule'!$O$18,IF(AND($G56="Minor",$P56="BOS",$H56="Nat'l Spec"),'Point Schedule'!$O$18,IF(AND($G56="Major",$P56="BOS",$H56="Specialty"),'Point Schedule'!$P$10,IF(AND($G56="Minor",$P56="BOS",$H56="Specialty"),'Point Schedule'!$O$10,IF(AND($G56="Minor",$P56="BOS",$H56="Spec"),'Point Schedule'!$O$10,IF(AND($G56="Major",$P56="BOS",$H56="Non-Spec"),'Point Schedule'!$P$10,IF(AND($G56="Minor",$P56="BOS",$H56="Non-Spec"),'Point Schedule'!$O$10,0)))))))</f>
        <v>0</v>
      </c>
      <c r="Z56" s="128">
        <f>IF(AND($G56="Major",$I56="No",$O56="SD"),'Point Schedule'!$P$20,IF(AND($G56="Minor",$I56="No",$O56="SD"),'Point Schedule'!$O$20,IF(AND($G56="Major",$I56="No",$O56="SB"),'Point Schedule'!$P$20,IF(AND($G56="Minor",$I56="No",$O56="SB"),'Point Schedule'!$O$20,0))))</f>
        <v>0</v>
      </c>
      <c r="AA56" s="128">
        <f>IF(AND($G56="Major",$I56="No",$H56="Specialty",$O56="JAM"),'Point Schedule'!$P$20,IF(AND($G56="Minor",$I56="No",$H56="Nat'l Spec",$O56="JAM"),'Point Schedule'!$O$20,IF(AND($G56="Minor",$I56="No",$H56="Non-Spec",$O56="JAM"),'Point Schedule'!$O$20,IF(AND($G56="Minor",$I56="No",$H56="Specialty",$O56="JAM"),'Point Schedule'!$O$20,IF(AND($G56="Major",$H56="Nat'l Spec",$I56="No",$O56="JAM"),'Point Schedule'!$O$21,IF(AND($G56="Major",$I56="No",$H56="Non-Spec",$O56="JAM"),'Point Schedule'!$P$20,0))))))</f>
        <v>0</v>
      </c>
      <c r="AB56" s="128">
        <f>IF(AND(Q56="1st",$O56="BOB",$H56="Non-Spec"), 'Point Schedule'!$O$5, IF(AND(Q56="2nd",$O56="BOB",$H56="Non-Spec"),'Point Schedule'!$O$6, IF(AND(Q56="3rd",$O56="BOB",$H56="Non-Spec"), 'Point Schedule'!$O$7, IF(AND(Q56="4th",$O56="BOB",$H56="Non-Spec"), 'Point Schedule'!$O$8,0))))</f>
        <v>0</v>
      </c>
      <c r="AC56" s="128">
        <f>IF(AND(R56="BIS",$Q56="1st"),'Point Schedule'!$O$4,0)</f>
        <v>0</v>
      </c>
      <c r="AD56" s="128">
        <f>IF(AND($H56="Nat'l Spec",$I56="No",$K56="1st",'Tabulation Sheet'!$AI47=0,$G56="Major"),'Point Schedule'!$W$26,IF(AND($H56="Nat'l Spec",$I56="No",'Tabulation Sheet'!$AI47=0,$K56="1st",$G56="Minor"),'Point Schedule'!$V$26,IF(AND($H56="Specialty",$I56="No",'Tabulation Sheet'!$AI47=0,$K56="1st",$G56="Major"),'Point Schedule'!$O$15,IF(AND($H56="Specialty",$I56="No",'Tabulation Sheet'!$AI47=0,$K56="1st",$G56="Minor"),'Point Schedule'!$O$15,0))))</f>
        <v>0</v>
      </c>
      <c r="AE56" s="129">
        <f>IF(AND(H56="Nat'l Spec",L56="WD"),'Point Schedule'!$O$19,IF(AND(H56="Nat'l Spec",L56="WB"),'Point Schedule'!$O$19,0))</f>
        <v>0</v>
      </c>
      <c r="AF56" s="128">
        <f>IF(AND($H56="Nat'l Spec",$K56="1st",I56="Yes"),'Point Schedule'!$V$18,IF(AND($H56="Specialty",$K56="1st",I56="Yes"),'Point Schedule'!$V$15,0))</f>
        <v>0</v>
      </c>
      <c r="AG56" s="128">
        <f>IF(AND($H56="Nat'l Spec",$S56="BIS",$I56="Yes"),'Point Schedule'!$V$19,IF(AND($H56="Specialty",$S56="BIS",$I56="Yes"),'Point Schedule'!$V$16,0))</f>
        <v>0</v>
      </c>
      <c r="AH56" s="128">
        <f>IF(AND($H56="Nat'l Spec",$T56="BOSS",I56="Yes"),'Point Schedule'!$V$20,IF(AND($H56="Specialty",$T56="BOSS",$I56="Yes"),'Point Schedule'!$V$17,0))</f>
        <v>0</v>
      </c>
      <c r="AI56" s="115">
        <f t="shared" si="0"/>
        <v>0</v>
      </c>
      <c r="AJ56" s="115">
        <f>IF(AND($J56="Pro",'Tabulation Sheet'!$AC$46=0),SUM($U56:$AH56),0)</f>
        <v>0</v>
      </c>
      <c r="AK56" s="116">
        <f>IF('Tabulation Sheet'!$AI47=0,SUM($AF56:$AH56),0)</f>
        <v>0</v>
      </c>
      <c r="AL56" s="761"/>
    </row>
    <row r="57" spans="1:38" ht="20.149999999999999" customHeight="1" thickTop="1" x14ac:dyDescent="0.7">
      <c r="A57" s="387"/>
      <c r="B57" s="722" t="s">
        <v>98</v>
      </c>
      <c r="C57" s="130" t="s">
        <v>48</v>
      </c>
      <c r="D57" s="130" t="s">
        <v>199</v>
      </c>
      <c r="E57" s="130" t="s">
        <v>384</v>
      </c>
      <c r="F57" s="191"/>
      <c r="G57" s="131"/>
      <c r="H57" s="132"/>
      <c r="I57" s="132"/>
      <c r="J57" s="132"/>
      <c r="K57" s="132"/>
      <c r="L57" s="132"/>
      <c r="M57" s="132"/>
      <c r="N57" s="132"/>
      <c r="O57" s="132"/>
      <c r="P57" s="132"/>
      <c r="Q57" s="132"/>
      <c r="R57" s="132"/>
      <c r="S57" s="132"/>
      <c r="T57" s="132"/>
      <c r="U57" s="25"/>
      <c r="V57" s="25"/>
      <c r="W57" s="25"/>
      <c r="X57" s="25"/>
      <c r="Y57" s="25"/>
      <c r="Z57" s="25"/>
      <c r="AA57" s="25"/>
      <c r="AB57" s="25"/>
      <c r="AC57" s="25"/>
      <c r="AD57" s="25"/>
      <c r="AE57" s="25"/>
      <c r="AF57" s="25"/>
      <c r="AG57" s="25"/>
      <c r="AH57" s="25"/>
      <c r="AI57" s="25"/>
      <c r="AJ57" s="25"/>
      <c r="AK57" s="25"/>
      <c r="AL57" s="761"/>
    </row>
    <row r="58" spans="1:38" ht="20.149999999999999" customHeight="1" thickBot="1" x14ac:dyDescent="0.85">
      <c r="A58" s="387"/>
      <c r="B58" s="723"/>
      <c r="C58" s="133">
        <f>SUM(AI12:AI56)</f>
        <v>0</v>
      </c>
      <c r="D58" s="133">
        <f>SUM(AJ12:AJ56)</f>
        <v>0</v>
      </c>
      <c r="E58" s="133">
        <f>SUM('Tabulation Sheet'!AC9:AD10)</f>
        <v>0</v>
      </c>
      <c r="F58" s="112"/>
      <c r="G58" s="83"/>
      <c r="H58" s="134"/>
      <c r="I58" s="134"/>
      <c r="J58" s="134"/>
      <c r="K58" s="134"/>
      <c r="L58" s="134"/>
      <c r="M58" s="134"/>
      <c r="N58" s="134"/>
      <c r="O58" s="134"/>
      <c r="P58" s="134"/>
      <c r="Q58" s="134"/>
      <c r="R58" s="134"/>
      <c r="S58" s="134"/>
      <c r="T58" s="134"/>
      <c r="U58" s="23"/>
      <c r="V58" s="23"/>
      <c r="W58" s="23"/>
      <c r="X58" s="23"/>
      <c r="Y58" s="23"/>
      <c r="Z58" s="23"/>
      <c r="AA58" s="23"/>
      <c r="AB58" s="23"/>
      <c r="AC58" s="23"/>
      <c r="AD58" s="18"/>
      <c r="AE58" s="18"/>
      <c r="AF58" s="18"/>
      <c r="AG58" s="18"/>
      <c r="AH58" s="18"/>
      <c r="AI58" s="18"/>
      <c r="AJ58" s="18"/>
      <c r="AK58" s="18"/>
      <c r="AL58" s="761"/>
    </row>
    <row r="59" spans="1:38" ht="14.5" thickTop="1" thickBot="1" x14ac:dyDescent="0.75">
      <c r="A59" s="551"/>
      <c r="B59" s="759"/>
      <c r="C59" s="759"/>
      <c r="D59" s="759"/>
      <c r="E59" s="759"/>
      <c r="F59" s="759"/>
      <c r="G59" s="759"/>
      <c r="H59" s="759"/>
      <c r="I59" s="759"/>
      <c r="J59" s="759"/>
      <c r="K59" s="759"/>
      <c r="L59" s="759"/>
      <c r="M59" s="759"/>
      <c r="N59" s="759"/>
      <c r="O59" s="759"/>
      <c r="P59" s="759"/>
      <c r="Q59" s="759"/>
      <c r="R59" s="759"/>
      <c r="S59" s="759"/>
      <c r="T59" s="759"/>
      <c r="U59" s="759"/>
      <c r="V59" s="759"/>
      <c r="W59" s="759"/>
      <c r="X59" s="759"/>
      <c r="Y59" s="759"/>
      <c r="Z59" s="759"/>
      <c r="AA59" s="759"/>
      <c r="AB59" s="759"/>
      <c r="AC59" s="759"/>
      <c r="AD59" s="759"/>
      <c r="AE59" s="759"/>
      <c r="AF59" s="759"/>
      <c r="AG59" s="759"/>
      <c r="AH59" s="759"/>
      <c r="AI59" s="759"/>
      <c r="AJ59" s="759"/>
      <c r="AK59" s="759"/>
      <c r="AL59" s="760"/>
    </row>
    <row r="60" spans="1:38" ht="13.75" thickTop="1" x14ac:dyDescent="0.6"/>
    <row r="65" spans="8:9" x14ac:dyDescent="0.6">
      <c r="H65" s="755"/>
      <c r="I65" s="756"/>
    </row>
    <row r="66" spans="8:9" x14ac:dyDescent="0.6">
      <c r="H66" s="755"/>
      <c r="I66" s="756"/>
    </row>
    <row r="67" spans="8:9" x14ac:dyDescent="0.6">
      <c r="H67" s="755"/>
      <c r="I67" s="755"/>
    </row>
  </sheetData>
  <sheetProtection algorithmName="SHA-512" hashValue="dAk7cqd94MQ0haQKVoP0haBZC43IdP9h558EoEBxG3iqLVaTEo4IuYD7/h92Z01BlBK7xB7UbGYFLrmVASboXQ==" saltValue="Xk9CxJBCC5H51nKIqhDWCw==" spinCount="100000" sheet="1" objects="1" scenarios="1"/>
  <mergeCells count="85">
    <mergeCell ref="H65:I65"/>
    <mergeCell ref="H66:I66"/>
    <mergeCell ref="H67:I67"/>
    <mergeCell ref="AF10:AH10"/>
    <mergeCell ref="T10:T11"/>
    <mergeCell ref="S10:S11"/>
    <mergeCell ref="A59:AL59"/>
    <mergeCell ref="A2:A58"/>
    <mergeCell ref="AL2:AL58"/>
    <mergeCell ref="B5:F5"/>
    <mergeCell ref="AA10:AA11"/>
    <mergeCell ref="B7:F7"/>
    <mergeCell ref="B6:F6"/>
    <mergeCell ref="G5:P5"/>
    <mergeCell ref="G6:P6"/>
    <mergeCell ref="G7:P7"/>
    <mergeCell ref="A1:AL1"/>
    <mergeCell ref="B2:AK2"/>
    <mergeCell ref="B3:AK3"/>
    <mergeCell ref="B4:F4"/>
    <mergeCell ref="G4:P4"/>
    <mergeCell ref="AI10:AI11"/>
    <mergeCell ref="AK10:AK11"/>
    <mergeCell ref="C16:E16"/>
    <mergeCell ref="C17:E17"/>
    <mergeCell ref="C10:E11"/>
    <mergeCell ref="C12:E12"/>
    <mergeCell ref="AB10:AB11"/>
    <mergeCell ref="H10:H11"/>
    <mergeCell ref="AJ10:AJ11"/>
    <mergeCell ref="Y10:Y11"/>
    <mergeCell ref="J10:J11"/>
    <mergeCell ref="I10:I11"/>
    <mergeCell ref="C13:E13"/>
    <mergeCell ref="C14:E14"/>
    <mergeCell ref="B57:B58"/>
    <mergeCell ref="C15:E15"/>
    <mergeCell ref="AD10:AE10"/>
    <mergeCell ref="U10:U11"/>
    <mergeCell ref="X10:X11"/>
    <mergeCell ref="C53:E53"/>
    <mergeCell ref="B10:B11"/>
    <mergeCell ref="Z10:Z11"/>
    <mergeCell ref="AC10:AC11"/>
    <mergeCell ref="F10:F11"/>
    <mergeCell ref="C26:E26"/>
    <mergeCell ref="C27:E27"/>
    <mergeCell ref="C25:E25"/>
    <mergeCell ref="W10:W11"/>
    <mergeCell ref="V10:V11"/>
    <mergeCell ref="C18:E18"/>
    <mergeCell ref="C56:E56"/>
    <mergeCell ref="C35:E35"/>
    <mergeCell ref="C36:E36"/>
    <mergeCell ref="C37:E37"/>
    <mergeCell ref="C38:E38"/>
    <mergeCell ref="C39:E39"/>
    <mergeCell ref="C40:E40"/>
    <mergeCell ref="C52:E52"/>
    <mergeCell ref="C55:E55"/>
    <mergeCell ref="C41:E41"/>
    <mergeCell ref="C54:E54"/>
    <mergeCell ref="C31:E31"/>
    <mergeCell ref="C42:E42"/>
    <mergeCell ref="C43:E43"/>
    <mergeCell ref="C51:E51"/>
    <mergeCell ref="C45:E45"/>
    <mergeCell ref="C46:E46"/>
    <mergeCell ref="C47:E47"/>
    <mergeCell ref="C48:E48"/>
    <mergeCell ref="C33:E33"/>
    <mergeCell ref="C34:E34"/>
    <mergeCell ref="C49:E49"/>
    <mergeCell ref="C50:E50"/>
    <mergeCell ref="C44:E44"/>
    <mergeCell ref="C32:E32"/>
    <mergeCell ref="C19:E19"/>
    <mergeCell ref="C20:E20"/>
    <mergeCell ref="C21:E21"/>
    <mergeCell ref="C29:E29"/>
    <mergeCell ref="C30:E30"/>
    <mergeCell ref="C22:E22"/>
    <mergeCell ref="C28:E28"/>
    <mergeCell ref="C24:E24"/>
    <mergeCell ref="C23:E23"/>
  </mergeCells>
  <phoneticPr fontId="2" type="noConversion"/>
  <dataValidations count="12">
    <dataValidation type="list" allowBlank="1" showInputMessage="1" showErrorMessage="1" sqref="G13:G56" xr:uid="{00000000-0002-0000-0300-000000000000}">
      <formula1>Major</formula1>
    </dataValidation>
    <dataValidation type="list" allowBlank="1" showInputMessage="1" showErrorMessage="1" sqref="H13:H56" xr:uid="{00000000-0002-0000-0300-000001000000}">
      <formula1>Specialty</formula1>
    </dataValidation>
    <dataValidation type="list" allowBlank="1" showInputMessage="1" showErrorMessage="1" sqref="K13:K56 Q13:Q56" xr:uid="{00000000-0002-0000-0300-000002000000}">
      <formula1>Placement</formula1>
    </dataValidation>
    <dataValidation type="list" allowBlank="1" showInputMessage="1" showErrorMessage="1" sqref="L14:L56" xr:uid="{00000000-0002-0000-0300-000003000000}">
      <formula1>WDWB</formula1>
    </dataValidation>
    <dataValidation type="list" allowBlank="1" showInputMessage="1" showErrorMessage="1" sqref="O13:O56" xr:uid="{00000000-0002-0000-0300-000005000000}">
      <formula1>BOBB</formula1>
    </dataValidation>
    <dataValidation type="list" allowBlank="1" showInputMessage="1" showErrorMessage="1" sqref="J13:J56" xr:uid="{00000000-0002-0000-0300-000006000000}">
      <formula1>AMPRO</formula1>
    </dataValidation>
    <dataValidation type="list" allowBlank="1" showInputMessage="1" showErrorMessage="1" sqref="F14:F56" xr:uid="{00000000-0002-0000-0300-000007000000}">
      <formula1>ConfClasses</formula1>
    </dataValidation>
    <dataValidation type="list" allowBlank="1" showInputMessage="1" showErrorMessage="1" sqref="P13:P56" xr:uid="{00000000-0002-0000-0300-000008000000}">
      <formula1>BOS</formula1>
    </dataValidation>
    <dataValidation type="list" allowBlank="1" showInputMessage="1" showErrorMessage="1" sqref="R13:T56" xr:uid="{00000000-0002-0000-0300-000009000000}">
      <formula1>BIS</formula1>
    </dataValidation>
    <dataValidation type="list" allowBlank="1" showInputMessage="1" showErrorMessage="1" sqref="M13:M56" xr:uid="{00000000-0002-0000-0300-00000A000000}">
      <formula1>RWD</formula1>
    </dataValidation>
    <dataValidation type="list" allowBlank="1" showInputMessage="1" showErrorMessage="1" sqref="I13:I56" xr:uid="{00000000-0002-0000-0300-00000B000000}">
      <formula1>YN</formula1>
    </dataValidation>
    <dataValidation type="list" allowBlank="1" showInputMessage="1" showErrorMessage="1" sqref="N15:N56 N13" xr:uid="{00000000-0002-0000-0300-000004000000}">
      <formula1>BOW</formula1>
    </dataValidation>
  </dataValidations>
  <printOptions horizontalCentered="1" verticalCentered="1"/>
  <pageMargins left="0.25" right="0.25" top="0.25" bottom="0.25" header="0" footer="0"/>
  <pageSetup scale="35" orientation="landscape" r:id="rId1"/>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r:uid="{256A83EE-7ABD-4404-B605-2D26D06DE7F7}">
          <x14:formula1>
            <xm:f>'Pull Down Menus'!$AB$1:$AB$15</xm:f>
          </x14:formula1>
          <xm:sqref>F13</xm:sqref>
        </x14:dataValidation>
        <x14:dataValidation type="list" allowBlank="1" showInputMessage="1" showErrorMessage="1" xr:uid="{B6AE183E-D119-4183-B72E-6789BE2FC77F}">
          <x14:formula1>
            <xm:f>'Pull Down Menus'!$R$1:$R$4</xm:f>
          </x14:formula1>
          <xm:sqref>L13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G55"/>
  <sheetViews>
    <sheetView zoomScaleNormal="100" workbookViewId="0">
      <selection activeCell="K13" sqref="K13"/>
    </sheetView>
  </sheetViews>
  <sheetFormatPr defaultColWidth="10.6796875" defaultRowHeight="13" x14ac:dyDescent="0.6"/>
  <cols>
    <col min="1" max="1" width="2.6796875" customWidth="1"/>
    <col min="2" max="2" width="12.6796875" customWidth="1"/>
    <col min="3" max="4" width="14.6796875" customWidth="1"/>
    <col min="5" max="5" width="15.08984375" customWidth="1"/>
    <col min="6" max="13" width="10.6796875" customWidth="1"/>
    <col min="14" max="19" width="8.6796875" customWidth="1"/>
    <col min="20" max="24" width="10" customWidth="1"/>
    <col min="25" max="32" width="8.6796875" customWidth="1"/>
    <col min="33" max="33" width="2.6796875" customWidth="1"/>
  </cols>
  <sheetData>
    <row r="1" spans="1:33" ht="14.5" thickTop="1" thickBot="1" x14ac:dyDescent="0.75">
      <c r="A1" s="742"/>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743"/>
      <c r="AG1" s="744"/>
    </row>
    <row r="2" spans="1:33" ht="25.15" customHeight="1" thickTop="1" thickBot="1" x14ac:dyDescent="0.75">
      <c r="A2" s="387"/>
      <c r="B2" s="745" t="s">
        <v>267</v>
      </c>
      <c r="C2" s="746"/>
      <c r="D2" s="746"/>
      <c r="E2" s="747"/>
      <c r="F2" s="747"/>
      <c r="G2" s="747"/>
      <c r="H2" s="747"/>
      <c r="I2" s="747"/>
      <c r="J2" s="747"/>
      <c r="K2" s="747"/>
      <c r="L2" s="747"/>
      <c r="M2" s="747"/>
      <c r="N2" s="747"/>
      <c r="O2" s="747"/>
      <c r="P2" s="747"/>
      <c r="Q2" s="747"/>
      <c r="R2" s="747"/>
      <c r="S2" s="747"/>
      <c r="T2" s="747"/>
      <c r="U2" s="747"/>
      <c r="V2" s="747"/>
      <c r="W2" s="747"/>
      <c r="X2" s="747"/>
      <c r="Y2" s="747"/>
      <c r="Z2" s="747"/>
      <c r="AA2" s="747"/>
      <c r="AB2" s="747"/>
      <c r="AC2" s="747"/>
      <c r="AD2" s="747"/>
      <c r="AE2" s="747"/>
      <c r="AF2" s="748"/>
      <c r="AG2" s="761"/>
    </row>
    <row r="3" spans="1:33" ht="14.5" thickTop="1" thickBot="1" x14ac:dyDescent="0.75">
      <c r="A3" s="387"/>
      <c r="B3" s="779"/>
      <c r="C3" s="779"/>
      <c r="D3" s="779"/>
      <c r="E3" s="779"/>
      <c r="F3" s="779"/>
      <c r="G3" s="779"/>
      <c r="H3" s="779"/>
      <c r="I3" s="779"/>
      <c r="J3" s="779"/>
      <c r="K3" s="779"/>
      <c r="L3" s="779"/>
      <c r="M3" s="779"/>
      <c r="N3" s="779"/>
      <c r="O3" s="779"/>
      <c r="P3" s="779"/>
      <c r="Q3" s="779"/>
      <c r="R3" s="779"/>
      <c r="S3" s="779"/>
      <c r="T3" s="779"/>
      <c r="U3" s="779"/>
      <c r="V3" s="779"/>
      <c r="W3" s="779"/>
      <c r="X3" s="779"/>
      <c r="Y3" s="779"/>
      <c r="Z3" s="779"/>
      <c r="AA3" s="779"/>
      <c r="AB3" s="779"/>
      <c r="AC3" s="779"/>
      <c r="AD3" s="779"/>
      <c r="AE3" s="779"/>
      <c r="AF3" s="779"/>
      <c r="AG3" s="761"/>
    </row>
    <row r="4" spans="1:33" ht="20.149999999999999" customHeight="1" thickTop="1" x14ac:dyDescent="0.6">
      <c r="A4" s="387"/>
      <c r="B4" s="563" t="s">
        <v>510</v>
      </c>
      <c r="C4" s="780"/>
      <c r="D4" s="780"/>
      <c r="E4" s="564"/>
      <c r="F4" s="475" t="str">
        <f>SUBSTITUTE(Summary!$D$5,,Summary!$D$5)</f>
        <v/>
      </c>
      <c r="G4" s="470"/>
      <c r="H4" s="470"/>
      <c r="I4" s="470"/>
      <c r="J4" s="470"/>
      <c r="K4" s="470"/>
      <c r="L4" s="470"/>
      <c r="M4" s="786"/>
      <c r="N4" s="16"/>
      <c r="O4" s="16"/>
      <c r="P4" s="16"/>
      <c r="Q4" s="16"/>
      <c r="R4" s="16"/>
      <c r="S4" s="16"/>
      <c r="T4" s="16"/>
      <c r="U4" s="16"/>
      <c r="V4" s="16"/>
      <c r="W4" s="16"/>
      <c r="X4" s="16"/>
      <c r="Y4" s="16"/>
      <c r="Z4" s="16"/>
      <c r="AA4" s="16"/>
      <c r="AB4" s="16"/>
      <c r="AC4" s="16"/>
      <c r="AD4" s="16"/>
      <c r="AE4" s="21"/>
      <c r="AF4" s="21"/>
      <c r="AG4" s="761"/>
    </row>
    <row r="5" spans="1:33" ht="20.149999999999999" customHeight="1" x14ac:dyDescent="0.6">
      <c r="A5" s="387"/>
      <c r="B5" s="585" t="s">
        <v>66</v>
      </c>
      <c r="C5" s="775"/>
      <c r="D5" s="775"/>
      <c r="E5" s="586"/>
      <c r="F5" s="481" t="str">
        <f>SUBSTITUTE(Summary!D7,,Summary!D7)</f>
        <v/>
      </c>
      <c r="G5" s="409"/>
      <c r="H5" s="409"/>
      <c r="I5" s="409"/>
      <c r="J5" s="409"/>
      <c r="K5" s="409"/>
      <c r="L5" s="409"/>
      <c r="M5" s="777"/>
      <c r="N5" s="16"/>
      <c r="O5" s="16"/>
      <c r="P5" s="16"/>
      <c r="Q5" s="16"/>
      <c r="R5" s="16"/>
      <c r="S5" s="16"/>
      <c r="T5" s="16"/>
      <c r="U5" s="16"/>
      <c r="V5" s="16"/>
      <c r="W5" s="16"/>
      <c r="X5" s="16"/>
      <c r="Y5" s="16"/>
      <c r="Z5" s="16"/>
      <c r="AA5" s="16"/>
      <c r="AB5" s="16"/>
      <c r="AC5" s="16"/>
      <c r="AD5" s="16"/>
      <c r="AE5" s="21"/>
      <c r="AF5" s="21"/>
      <c r="AG5" s="761"/>
    </row>
    <row r="6" spans="1:33" ht="20.149999999999999" customHeight="1" x14ac:dyDescent="0.6">
      <c r="A6" s="387"/>
      <c r="B6" s="585" t="s">
        <v>100</v>
      </c>
      <c r="C6" s="775"/>
      <c r="D6" s="775"/>
      <c r="E6" s="586"/>
      <c r="F6" s="481" t="str">
        <f>SUBSTITUTE(Summary!D8,,Summary!D8)</f>
        <v/>
      </c>
      <c r="G6" s="409"/>
      <c r="H6" s="409"/>
      <c r="I6" s="409"/>
      <c r="J6" s="409"/>
      <c r="K6" s="409"/>
      <c r="L6" s="409"/>
      <c r="M6" s="777"/>
      <c r="N6" s="16"/>
      <c r="O6" s="16"/>
      <c r="P6" s="16"/>
      <c r="Q6" s="16"/>
      <c r="R6" s="16"/>
      <c r="S6" s="16"/>
      <c r="T6" s="16"/>
      <c r="U6" s="16"/>
      <c r="V6" s="16"/>
      <c r="W6" s="16"/>
      <c r="X6" s="16"/>
      <c r="Y6" s="16"/>
      <c r="Z6" s="16"/>
      <c r="AA6" s="16"/>
      <c r="AB6" s="16"/>
      <c r="AC6" s="16"/>
      <c r="AD6" s="16"/>
      <c r="AE6" s="21"/>
      <c r="AF6" s="21"/>
      <c r="AG6" s="761"/>
    </row>
    <row r="7" spans="1:33" ht="20.149999999999999" customHeight="1" thickBot="1" x14ac:dyDescent="0.85">
      <c r="A7" s="387"/>
      <c r="B7" s="764" t="s">
        <v>299</v>
      </c>
      <c r="C7" s="765"/>
      <c r="D7" s="765"/>
      <c r="E7" s="766"/>
      <c r="F7" s="473" t="str">
        <f>SUBSTITUTE(Summary!D9,,Summary!D9)</f>
        <v/>
      </c>
      <c r="G7" s="407"/>
      <c r="H7" s="407"/>
      <c r="I7" s="407"/>
      <c r="J7" s="407"/>
      <c r="K7" s="407"/>
      <c r="L7" s="407"/>
      <c r="M7" s="778"/>
      <c r="N7" s="16"/>
      <c r="O7" s="16"/>
      <c r="P7" s="16"/>
      <c r="Q7" s="16"/>
      <c r="R7" s="16"/>
      <c r="S7" s="16"/>
      <c r="T7" s="16"/>
      <c r="U7" s="16"/>
      <c r="V7" s="16"/>
      <c r="W7" s="16"/>
      <c r="X7" s="16"/>
      <c r="Y7" s="16"/>
      <c r="Z7" s="16"/>
      <c r="AA7" s="16"/>
      <c r="AB7" s="16"/>
      <c r="AC7" s="16"/>
      <c r="AD7" s="16"/>
      <c r="AE7" s="21"/>
      <c r="AF7" s="21"/>
      <c r="AG7" s="761"/>
    </row>
    <row r="8" spans="1:33" ht="15" customHeight="1" thickTop="1" x14ac:dyDescent="0.6">
      <c r="A8" s="387"/>
      <c r="B8" s="20"/>
      <c r="C8" s="16"/>
      <c r="D8" s="16"/>
      <c r="E8" s="16"/>
      <c r="F8" s="16"/>
      <c r="G8" s="16"/>
      <c r="H8" s="16"/>
      <c r="I8" s="16"/>
      <c r="J8" s="16"/>
      <c r="K8" s="16"/>
      <c r="L8" s="16"/>
      <c r="M8" s="16"/>
      <c r="N8" s="16"/>
      <c r="O8" s="16"/>
      <c r="P8" s="16"/>
      <c r="Q8" s="16"/>
      <c r="R8" s="16"/>
      <c r="S8" s="16"/>
      <c r="T8" s="16"/>
      <c r="U8" s="16"/>
      <c r="V8" s="16"/>
      <c r="W8" s="16"/>
      <c r="X8" s="16"/>
      <c r="Y8" s="16"/>
      <c r="Z8" s="16"/>
      <c r="AA8" s="16"/>
      <c r="AB8" s="16"/>
      <c r="AC8" s="16"/>
      <c r="AD8" s="16"/>
      <c r="AE8" s="21"/>
      <c r="AF8" s="21"/>
      <c r="AG8" s="761"/>
    </row>
    <row r="9" spans="1:33" ht="15" customHeight="1" thickBot="1" x14ac:dyDescent="0.75">
      <c r="A9" s="387"/>
      <c r="B9" s="52"/>
      <c r="C9" s="16"/>
      <c r="D9" s="16"/>
      <c r="E9" s="16"/>
      <c r="F9" s="16"/>
      <c r="G9" s="16"/>
      <c r="H9" s="16"/>
      <c r="I9" s="16"/>
      <c r="J9" s="16"/>
      <c r="K9" s="16"/>
      <c r="L9" s="16"/>
      <c r="M9" s="16"/>
      <c r="N9" s="52"/>
      <c r="O9" s="52"/>
      <c r="P9" s="52"/>
      <c r="Q9" s="52"/>
      <c r="R9" s="52"/>
      <c r="S9" s="52"/>
      <c r="T9" s="52"/>
      <c r="U9" s="52"/>
      <c r="V9" s="52"/>
      <c r="W9" s="52"/>
      <c r="X9" s="52"/>
      <c r="Y9" s="52"/>
      <c r="Z9" s="52"/>
      <c r="AA9" s="52"/>
      <c r="AB9" s="52"/>
      <c r="AC9" s="52"/>
      <c r="AD9" s="52"/>
      <c r="AE9" s="60"/>
      <c r="AF9" s="60"/>
      <c r="AG9" s="761"/>
    </row>
    <row r="10" spans="1:33" s="3" customFormat="1" ht="28.5" customHeight="1" thickTop="1" x14ac:dyDescent="0.6">
      <c r="A10" s="387"/>
      <c r="B10" s="489" t="s">
        <v>10</v>
      </c>
      <c r="C10" s="784" t="s">
        <v>277</v>
      </c>
      <c r="D10" s="785"/>
      <c r="E10" s="730" t="s">
        <v>11</v>
      </c>
      <c r="F10" s="730" t="s">
        <v>200</v>
      </c>
      <c r="G10" s="61" t="s">
        <v>105</v>
      </c>
      <c r="H10" s="61" t="s">
        <v>107</v>
      </c>
      <c r="I10" s="730" t="s">
        <v>39</v>
      </c>
      <c r="J10" s="61" t="s">
        <v>106</v>
      </c>
      <c r="K10" s="61" t="s">
        <v>41</v>
      </c>
      <c r="L10" s="61" t="s">
        <v>42</v>
      </c>
      <c r="M10" s="61" t="s">
        <v>43</v>
      </c>
      <c r="N10" s="730" t="s">
        <v>331</v>
      </c>
      <c r="O10" s="730" t="s">
        <v>124</v>
      </c>
      <c r="P10" s="730" t="s">
        <v>332</v>
      </c>
      <c r="Q10" s="730" t="s">
        <v>125</v>
      </c>
      <c r="R10" s="730" t="s">
        <v>333</v>
      </c>
      <c r="S10" s="730" t="s">
        <v>126</v>
      </c>
      <c r="T10" s="730" t="s">
        <v>334</v>
      </c>
      <c r="U10" s="774" t="s">
        <v>623</v>
      </c>
      <c r="V10" s="774" t="s">
        <v>624</v>
      </c>
      <c r="W10" s="774" t="s">
        <v>625</v>
      </c>
      <c r="X10" s="774" t="s">
        <v>626</v>
      </c>
      <c r="Y10" s="730" t="s">
        <v>108</v>
      </c>
      <c r="Z10" s="730" t="s">
        <v>39</v>
      </c>
      <c r="AA10" s="730" t="s">
        <v>106</v>
      </c>
      <c r="AB10" s="730" t="s">
        <v>41</v>
      </c>
      <c r="AC10" s="730" t="s">
        <v>42</v>
      </c>
      <c r="AD10" s="730" t="s">
        <v>109</v>
      </c>
      <c r="AE10" s="730" t="s">
        <v>201</v>
      </c>
      <c r="AF10" s="782" t="s">
        <v>202</v>
      </c>
      <c r="AG10" s="761"/>
    </row>
    <row r="11" spans="1:33" s="3" customFormat="1" ht="48" customHeight="1" x14ac:dyDescent="0.6">
      <c r="A11" s="387"/>
      <c r="B11" s="776"/>
      <c r="C11" s="513"/>
      <c r="D11" s="542"/>
      <c r="E11" s="465"/>
      <c r="F11" s="465"/>
      <c r="G11" s="62" t="s">
        <v>165</v>
      </c>
      <c r="H11" s="62" t="s">
        <v>213</v>
      </c>
      <c r="I11" s="465"/>
      <c r="J11" s="62" t="s">
        <v>213</v>
      </c>
      <c r="K11" s="62" t="s">
        <v>213</v>
      </c>
      <c r="L11" s="62" t="s">
        <v>213</v>
      </c>
      <c r="M11" s="62" t="s">
        <v>213</v>
      </c>
      <c r="N11" s="465"/>
      <c r="O11" s="465"/>
      <c r="P11" s="465"/>
      <c r="Q11" s="465"/>
      <c r="R11" s="465"/>
      <c r="S11" s="465"/>
      <c r="T11" s="465"/>
      <c r="U11" s="465"/>
      <c r="V11" s="465"/>
      <c r="W11" s="465"/>
      <c r="X11" s="465"/>
      <c r="Y11" s="465"/>
      <c r="Z11" s="465"/>
      <c r="AA11" s="465"/>
      <c r="AB11" s="465"/>
      <c r="AC11" s="465"/>
      <c r="AD11" s="465"/>
      <c r="AE11" s="465"/>
      <c r="AF11" s="783"/>
      <c r="AG11" s="761"/>
    </row>
    <row r="12" spans="1:33" ht="20.149999999999999" customHeight="1" x14ac:dyDescent="0.6">
      <c r="A12" s="387"/>
      <c r="B12" s="276" t="s">
        <v>572</v>
      </c>
      <c r="C12" s="796" t="s">
        <v>573</v>
      </c>
      <c r="D12" s="797"/>
      <c r="E12" s="270" t="s">
        <v>572</v>
      </c>
      <c r="F12" s="270" t="s">
        <v>572</v>
      </c>
      <c r="G12" s="270" t="s">
        <v>572</v>
      </c>
      <c r="H12" s="270" t="s">
        <v>572</v>
      </c>
      <c r="I12" s="277" t="s">
        <v>574</v>
      </c>
      <c r="J12" s="277" t="s">
        <v>574</v>
      </c>
      <c r="K12" s="277" t="s">
        <v>574</v>
      </c>
      <c r="L12" s="277" t="s">
        <v>574</v>
      </c>
      <c r="M12" s="277" t="s">
        <v>574</v>
      </c>
      <c r="N12" s="113">
        <f>IF(AND(E12="Beg. Nov.",G12="1st"),'Point Schedule'!$B$20,IF(AND(E12="Beg. Nov.",G12="2nd"),'Point Schedule'!$B$21,IF(AND(E12="Beg. Nov.",G12="3rd"),'Point Schedule'!$B$22,IF(AND(E12="Beg. Nov.",G12="4th"),'Point Schedule'!$B$23,0))))</f>
        <v>0</v>
      </c>
      <c r="O12" s="113">
        <f>IF(AND($E12="Novice",$G12="1st"),'Point Schedule'!$C$20,IF(AND($E12="Novice",$G12="2nd"),'Point Schedule'!$C$21,IF(AND($E12="Novice",$G12="3rd"),'Point Schedule'!$C$22,IF(AND($E12="Novice",$G12="4th"),'Point Schedule'!$C$23,0))))</f>
        <v>0</v>
      </c>
      <c r="P12" s="113">
        <f>IF(AND($E12="Grad Nov",$G12="1st"),'Point Schedule'!$D$20,IF(AND($E12="Grad Nov",$G12="2nd"),'Point Schedule'!$D$21,IF(AND($E12="Grad Nov",$G12="3rd"),'Point Schedule'!$D$22,IF(AND($E12="Grad Nov",$G12="4th"),'Point Schedule'!$D$23,0))))</f>
        <v>0</v>
      </c>
      <c r="Q12" s="113">
        <f>IF(AND(E12="Open",G12="1st"),'Point Schedule'!$E$20,IF(AND(E12="Open",G12="2nd"),'Point Schedule'!$E$21,IF(AND(E12="Open",G12="3rd"),'Point Schedule'!$E$22,IF(AND(E12="Open",G12="4th"),'Point Schedule'!$E$23,0))))</f>
        <v>0</v>
      </c>
      <c r="R12" s="113">
        <f>IF(AND($E12="Grad Open",$G12="1st"),'Point Schedule'!$F$20,IF(AND($E12="Grad Open",$G12="2nd"),'Point Schedule'!$F$21,IF(AND($E12="Grad Open",$G12="3rd"),'Point Schedule'!$F$22,IF(AND($E12="Grad Open",$G12="4th"),'Point Schedule'!$F$23,0))))</f>
        <v>0</v>
      </c>
      <c r="S12" s="113">
        <f>IF(AND(E12="Utility",G12="1st"),'Point Schedule'!$G$20,IF(AND(E12="Utility",G12="2nd"),'Point Schedule'!$G$21,IF(AND(E12="Utility",G12="3rd"),'Point Schedule'!$G$22,IF(AND(E12="Utility",G12="4th"),'Point Schedule'!$G$23,0))))</f>
        <v>0</v>
      </c>
      <c r="T12" s="113">
        <f>IF(AND($E12="Ver",$G12="1st"),'Point Schedule'!$H$20,IF(AND($E12="Ver",$G12="2nd"),'Point Schedule'!$H$21,IF(AND($E12="Ver",$G12="3rd"),'Point Schedule'!$H$22,IF(AND($E12="Ver",$G12="4th"),'Point Schedule'!$H$23,0))))</f>
        <v>0</v>
      </c>
      <c r="U12" s="113">
        <f>IF(AND($E12="Pref Nov",$G12="1st"),'Point Schedule'!$C$64,IF(AND($E12="Pref Nov",$G12="2nd"),'Point Schedule'!$C$65,IF(AND($E12="Pref Nov",$G12="3rd"),'Point Schedule'!$C$66,IF(AND($E12="Pref Nov",$G12="4th"),'Point Schedule'!$C$67,0))))</f>
        <v>0</v>
      </c>
      <c r="V12" s="113">
        <f>IF(AND($E12="Pref Open",$G12="1st"),'Point Schedule'!$E$64,IF(AND($E12="Pref Open",$G12="2nd"),'Point Schedule'!$E$65,IF(AND($E12="Pref Open",$G12="3rd"),'Point Schedule'!$E$66,IF(AND($E12="Pref Open",$G12="4th"),'Point Schedule'!$E$67,0))))</f>
        <v>0</v>
      </c>
      <c r="W12" s="113">
        <f>IF(AND($E12="Pref Utility",$G12="1st"),'Point Schedule'!$G$64,IF(AND($E12="Pref Utility",$G12="2nd"),'Point Schedule'!$G$65,IF(AND($E12="Pref Utility",$G12="3rd"),'Point Schedule'!$G$66,IF(AND($E12="Pref Utility",$G12="4th"),'Point Schedule'!$G$67,0))))</f>
        <v>0</v>
      </c>
      <c r="X12" s="113">
        <f>IF(AND($E12="Pref Utility",$B12=$B13,NOT($E12=$E13),$J12="Yes"),'Point Schedule'!$C$72,0)</f>
        <v>0</v>
      </c>
      <c r="Y12" s="113">
        <f>IF(AND($E12="Beg. Nov.",$H12="Yes"),'Point Schedule'!$B$25,IF(AND($E12="Novice",$H12="Yes"),'Point Schedule'!$C$25,IF(AND($E12="Pref Nov",$H12="Yes"),'Point Schedule'!$C$69,IF(AND($E12="Grad Nov",$H12="Yes"),'Point Schedule'!$D$25,IF(AND($E12="Open",$H12="Yes"),'Point Schedule'!$E$25,IF(AND($E12="Pref Open",$H12="Yes"),'Point Schedule'!$E$69,IF(AND($E12="Grad Open",$H12="Yes"),'Point Schedule'!$F$25,IF(AND($E12="Ver",$H12="Yes"),'Point Schedule'!$H$25,IF(AND($E12="Utility",$H12="Yes"),'Point Schedule'!$G$25,IF(AND($E12="Pref Utility",$H12="Yes"),'Point Schedule'!$G$69,0))))))))))</f>
        <v>0</v>
      </c>
      <c r="Z12" s="113">
        <v>0</v>
      </c>
      <c r="AA12" s="96">
        <f>IF(AND($E12="Utility",$B12=$B13,NOT($E12=$E13),$J12="Yes"),'[1]Point Schedule'!$C$28,0)</f>
        <v>0</v>
      </c>
      <c r="AB12" s="113">
        <f>IF($K12="Yes",'Point Schedule'!$C$29,0)</f>
        <v>0</v>
      </c>
      <c r="AC12" s="113">
        <f>IF($L12="Yes",'Point Schedule'!$C$30,0)</f>
        <v>0</v>
      </c>
      <c r="AD12" s="114">
        <f>IF(M12="Yes",'Point Schedule'!$C$31,0)</f>
        <v>0</v>
      </c>
      <c r="AE12" s="122">
        <f>IF($F12="AM",SUM($N12:$AD12),0)</f>
        <v>0</v>
      </c>
      <c r="AF12" s="123">
        <f>IF($F12="Pro",SUM($N12:$AD12),0)</f>
        <v>0</v>
      </c>
      <c r="AG12" s="761"/>
    </row>
    <row r="13" spans="1:33" ht="20.149999999999999" customHeight="1" x14ac:dyDescent="0.6">
      <c r="A13" s="387"/>
      <c r="B13" s="271"/>
      <c r="C13" s="545"/>
      <c r="D13" s="773"/>
      <c r="E13" s="272"/>
      <c r="F13" s="272"/>
      <c r="G13" s="272"/>
      <c r="H13" s="205"/>
      <c r="I13" s="272"/>
      <c r="J13" s="272"/>
      <c r="K13" s="205"/>
      <c r="L13" s="272"/>
      <c r="M13" s="205"/>
      <c r="N13" s="113">
        <f>IF(AND(E13="Beg. Nov.",G13="1st"),'Point Schedule'!$B$20,IF(AND(E13="Beg. Nov.",G13="2nd"),'Point Schedule'!$B$21,IF(AND(E13="Beg. Nov.",G13="3rd"),'Point Schedule'!$B$22,IF(AND(E13="Beg. Nov.",G13="4th"),'Point Schedule'!$B$23,0))))</f>
        <v>0</v>
      </c>
      <c r="O13" s="113">
        <f>IF(AND($E13="Novice",$G13="1st"),'Point Schedule'!$C$20,IF(AND($E13="Novice",$G13="2nd"),'Point Schedule'!$C$21,IF(AND($E13="Novice",$G13="3rd"),'Point Schedule'!$C$22,IF(AND($E13="Novice",$G13="4th"),'Point Schedule'!$C$23,0))))</f>
        <v>0</v>
      </c>
      <c r="P13" s="113">
        <f>IF(AND($E13="Grad Nov",$G13="1st"),'Point Schedule'!$D$20,IF(AND($E13="Grad Nov",$G13="2nd"),'Point Schedule'!$D$21,IF(AND($E13="Grad Nov",$G13="3rd"),'Point Schedule'!$D$22,IF(AND($E13="Grad Nov",$G13="4th"),'Point Schedule'!$D$23,0))))</f>
        <v>0</v>
      </c>
      <c r="Q13" s="113">
        <f>IF(AND(E13="Open",G13="1st"),'Point Schedule'!$E$20,IF(AND(E13="Open",G13="2nd"),'Point Schedule'!$E$21,IF(AND(E13="Open",G13="3rd"),'Point Schedule'!$E$22,IF(AND(E13="Open",G13="4th"),'Point Schedule'!$E$23,0))))</f>
        <v>0</v>
      </c>
      <c r="R13" s="113">
        <f>IF(AND($E13="Grad Open",$G13="1st"),'Point Schedule'!$F$20,IF(AND($E13="Grad Open",$G13="2nd"),'Point Schedule'!$F$21,IF(AND($E13="Grad Open",$G13="3rd"),'Point Schedule'!$F$22,IF(AND($E13="Grad Open",$G13="4th"),'Point Schedule'!$F$23,0))))</f>
        <v>0</v>
      </c>
      <c r="S13" s="113">
        <f>IF(AND(E13="Utility",G13="1st"),'Point Schedule'!$G$20,IF(AND(E13="Utility",G13="2nd"),'Point Schedule'!$G$21,IF(AND(E13="Utility",G13="3rd"),'Point Schedule'!$G$22,IF(AND(E13="Utility",G13="4th"),'Point Schedule'!$G$23,0))))</f>
        <v>0</v>
      </c>
      <c r="T13" s="113">
        <f>IF(AND($E13="Ver",$G13="1st"),'Point Schedule'!$H$20,IF(AND($E13="Ver",$G13="2nd"),'Point Schedule'!$H$21,IF(AND($E13="Ver",$G13="3rd"),'Point Schedule'!$H$22,IF(AND($E13="Ver",$G13="4th"),'Point Schedule'!$H$23,0))))</f>
        <v>0</v>
      </c>
      <c r="U13" s="113">
        <f>IF(AND($E13="Pref Nov",$G13="1st"),'Point Schedule'!$C$64,IF(AND($E13="Pref Nov",$G13="2nd"),'Point Schedule'!$C$65,IF(AND($E13="Pref Nov",$G13="3rd"),'Point Schedule'!$C$66,IF(AND($E13="Pref Nov",$G13="4th"),'Point Schedule'!$C$67,0))))</f>
        <v>0</v>
      </c>
      <c r="V13" s="113">
        <f>IF(AND($E13="Pref Open",$G13="1st"),'Point Schedule'!$E$64,IF(AND($E13="Pref Open",$G13="2nd"),'Point Schedule'!$E$65,IF(AND($E13="Pref Open",$G13="3rd"),'Point Schedule'!$E$66,IF(AND($E13="Pref Open",$G13="4th"),'Point Schedule'!$E$67,0))))</f>
        <v>0</v>
      </c>
      <c r="W13" s="113">
        <f>IF(AND($E13="Pref Utility",$G13="1st"),'Point Schedule'!$G$64,IF(AND($E13="Pref Utility",$G13="2nd"),'Point Schedule'!$G$65,IF(AND($E13="Pref Utility",$G13="3rd"),'Point Schedule'!$G$66,IF(AND($E13="Pref Utility",$G13="4th"),'Point Schedule'!$G$67,0))))</f>
        <v>0</v>
      </c>
      <c r="X13" s="113">
        <f>IF(AND($E13="Pref Utility",$B13=$B14,NOT($E13=$E14),$J13="Yes"),'Point Schedule'!$C$72,0)</f>
        <v>0</v>
      </c>
      <c r="Y13" s="113">
        <f>IF(AND($E13="Beg. Nov.",$H13="Yes"),'Point Schedule'!$B$25,IF(AND($E13="Novice",$H13="Yes"),'Point Schedule'!$C$25,IF(AND($E13="Pref Nov",$H13="Yes"),'Point Schedule'!$C$69,IF(AND($E13="Grad Nov",$H13="Yes"),'Point Schedule'!$D$25,IF(AND($E13="Open",$H13="Yes"),'Point Schedule'!$E$25,IF(AND($E13="Pref Open",$H13="Yes"),'Point Schedule'!$E$69,IF(AND($E13="Grad Open",$H13="Yes"),'Point Schedule'!$F$25,IF(AND($E13="Ver",$H13="Yes"),'Point Schedule'!$H$25,IF(AND($E13="Utility",$H13="Yes"),'Point Schedule'!$G$25,IF(AND($E13="Pref Utility",$H13="Yes"),'Point Schedule'!$G$69,0))))))))))</f>
        <v>0</v>
      </c>
      <c r="Z13" s="113">
        <f>IF($I13&gt;=195,'Point Schedule'!$C$27,0)</f>
        <v>0</v>
      </c>
      <c r="AA13" s="96">
        <f>IF(AND($E13="Utility",$B13=$B14,NOT($E13=$E14),$J13="Yes"),'[1]Point Schedule'!$C$28,0)</f>
        <v>0</v>
      </c>
      <c r="AB13" s="113">
        <f>IF($K13="Yes",'Point Schedule'!$C$29,0)</f>
        <v>0</v>
      </c>
      <c r="AC13" s="113">
        <f>IF($L13="Yes",'Point Schedule'!$C$30,0)</f>
        <v>0</v>
      </c>
      <c r="AD13" s="114">
        <f>IF(M13="Yes",'Point Schedule'!$C$31,0)</f>
        <v>0</v>
      </c>
      <c r="AE13" s="122">
        <f>IF($F13="AM",SUM($N13:$AD13),0)</f>
        <v>0</v>
      </c>
      <c r="AF13" s="123">
        <f>IF($F13="Pro",SUM($N13:$AD13),0)</f>
        <v>0</v>
      </c>
      <c r="AG13" s="761"/>
    </row>
    <row r="14" spans="1:33" ht="20.149999999999999" customHeight="1" x14ac:dyDescent="0.6">
      <c r="A14" s="387"/>
      <c r="B14" s="271"/>
      <c r="C14" s="545"/>
      <c r="D14" s="773"/>
      <c r="E14" s="272"/>
      <c r="F14" s="272"/>
      <c r="G14" s="272"/>
      <c r="H14" s="272"/>
      <c r="I14" s="272"/>
      <c r="J14" s="272"/>
      <c r="K14" s="272"/>
      <c r="L14" s="272"/>
      <c r="M14" s="205"/>
      <c r="N14" s="113">
        <f>IF(AND(E14="Beg. Nov.",G14="1st"),'Point Schedule'!$B$20,IF(AND(E14="Beg. Nov.",G14="2nd"),'Point Schedule'!$B$21,IF(AND(E14="Beg. Nov.",G14="3rd"),'Point Schedule'!$B$22,IF(AND(E14="Beg. Nov.",G14="4th"),'Point Schedule'!$B$23,0))))</f>
        <v>0</v>
      </c>
      <c r="O14" s="113">
        <f>IF(AND($E14="Novice",$G14="1st"),'Point Schedule'!$C$20,IF(AND($E14="Novice",$G14="2nd"),'Point Schedule'!$C$21,IF(AND($E14="Novice",$G14="3rd"),'Point Schedule'!$C$22,IF(AND($E14="Novice",$G14="4th"),'Point Schedule'!$C$23,0))))</f>
        <v>0</v>
      </c>
      <c r="P14" s="113">
        <f>IF(AND($E14="Grad Nov",$G14="1st"),'Point Schedule'!$D$20,IF(AND($E14="Grad Nov",$G14="2nd"),'Point Schedule'!$D$21,IF(AND($E14="Grad Nov",$G14="3rd"),'Point Schedule'!$D$22,IF(AND($E14="Grad Nov",$G14="4th"),'Point Schedule'!$D$23,0))))</f>
        <v>0</v>
      </c>
      <c r="Q14" s="113">
        <f>IF(AND(E14="Open",G14="1st"),'Point Schedule'!$E$20,IF(AND(E14="Open",G14="2nd"),'Point Schedule'!$E$21,IF(AND(E14="Open",G14="3rd"),'Point Schedule'!$E$22,IF(AND(E14="Open",G14="4th"),'Point Schedule'!$E$23,0))))</f>
        <v>0</v>
      </c>
      <c r="R14" s="113">
        <f>IF(AND($E14="Grad Open",$G14="1st"),'Point Schedule'!$F$20,IF(AND($E14="Grad Open",$G14="2nd"),'Point Schedule'!$F$21,IF(AND($E14="Grad Open",$G14="3rd"),'Point Schedule'!$F$22,IF(AND($E14="Grad Open",$G14="4th"),'Point Schedule'!$F$23,0))))</f>
        <v>0</v>
      </c>
      <c r="S14" s="113">
        <f>IF(AND(E14="Utility",G14="1st"),'Point Schedule'!$G$20,IF(AND(E14="Utility",G14="2nd"),'Point Schedule'!$G$21,IF(AND(E14="Utility",G14="3rd"),'Point Schedule'!$G$22,IF(AND(E14="Utility",G14="4th"),'Point Schedule'!$G$23,0))))</f>
        <v>0</v>
      </c>
      <c r="T14" s="113">
        <f>IF(AND($E14="Ver",$G14="1st"),'Point Schedule'!$H$20,IF(AND($E14="Ver",$G14="2nd"),'Point Schedule'!$H$21,IF(AND($E14="Ver",$G14="3rd"),'Point Schedule'!$H$22,IF(AND($E14="Ver",$G14="4th"),'Point Schedule'!$H$23,0))))</f>
        <v>0</v>
      </c>
      <c r="U14" s="113">
        <f>IF(AND($E14="Pref Nov",$G14="1st"),'Point Schedule'!$C$64,IF(AND($E14="Pref Nov",$G14="2nd"),'Point Schedule'!$C$65,IF(AND($E14="Pref Nov",$G14="3rd"),'Point Schedule'!$C$66,IF(AND($E14="Pref Nov",$G14="4th"),'Point Schedule'!$C$67,0))))</f>
        <v>0</v>
      </c>
      <c r="V14" s="113">
        <f>IF(AND($E14="Pref Open",$G14="1st"),'Point Schedule'!$E$64,IF(AND($E14="Pref Open",$G14="2nd"),'Point Schedule'!$E$65,IF(AND($E14="Pref Open",$G14="3rd"),'Point Schedule'!$E$66,IF(AND($E14="Pref Open",$G14="4th"),'Point Schedule'!$E$67,0))))</f>
        <v>0</v>
      </c>
      <c r="W14" s="113">
        <f>IF(AND($E14="Pref Utility",$G14="1st"),'Point Schedule'!$G$64,IF(AND($E14="Pref Utility",$G14="2nd"),'Point Schedule'!$G$65,IF(AND($E14="Pref Utility",$G14="3rd"),'Point Schedule'!$G$66,IF(AND($E14="Pref Utility",$G14="4th"),'Point Schedule'!$G$67,0))))</f>
        <v>0</v>
      </c>
      <c r="X14" s="113">
        <f>IF(AND($E14="Pref Utility",$B14=$B15,NOT($E14=$E15),$J14="Yes"),'Point Schedule'!$C$72,0)</f>
        <v>0</v>
      </c>
      <c r="Y14" s="113">
        <f>IF(AND($E14="Beg. Nov.",$H14="Yes"),'Point Schedule'!$B$25,IF(AND($E14="Novice",$H14="Yes"),'Point Schedule'!$C$25,IF(AND($E14="Pref Nov",$H14="Yes"),'Point Schedule'!$C$69,IF(AND($E14="Grad Nov",$H14="Yes"),'Point Schedule'!$D$25,IF(AND($E14="Open",$H14="Yes"),'Point Schedule'!$E$25,IF(AND($E14="Pref Open",$H14="Yes"),'Point Schedule'!$E$69,IF(AND($E14="Grad Open",$H14="Yes"),'Point Schedule'!$F$25,IF(AND($E14="Ver",$H14="Yes"),'Point Schedule'!$H$25,IF(AND($E14="Utility",$H14="Yes"),'Point Schedule'!$G$25,IF(AND($E14="Pref Utility",$H14="Yes"),'Point Schedule'!$G$69,0))))))))))</f>
        <v>0</v>
      </c>
      <c r="Z14" s="113">
        <f>IF($I14&gt;=195,'Point Schedule'!$C$27,0)</f>
        <v>0</v>
      </c>
      <c r="AA14" s="96">
        <f>IF(AND($E14="Utility",$B14=$B15,NOT($E14=$E15),$J14="Yes"),'[1]Point Schedule'!$C$28,0)</f>
        <v>0</v>
      </c>
      <c r="AB14" s="113">
        <f>IF($K14="Yes",'Point Schedule'!$C$29,0)</f>
        <v>0</v>
      </c>
      <c r="AC14" s="113">
        <f>IF($L14="Yes",'Point Schedule'!$C$30,0)</f>
        <v>0</v>
      </c>
      <c r="AD14" s="114">
        <f>IF(M14="Yes",'Point Schedule'!$C$31,0)</f>
        <v>0</v>
      </c>
      <c r="AE14" s="122">
        <f t="shared" ref="AE14:AE44" si="0">IF(F14="AM",SUM(N14:AD14),0)</f>
        <v>0</v>
      </c>
      <c r="AF14" s="123">
        <f t="shared" ref="AF14:AF44" si="1">IF(F14="Pro",SUM(N14:AD14),0)</f>
        <v>0</v>
      </c>
      <c r="AG14" s="761"/>
    </row>
    <row r="15" spans="1:33" ht="20.149999999999999" customHeight="1" x14ac:dyDescent="0.6">
      <c r="A15" s="387"/>
      <c r="B15" s="273"/>
      <c r="C15" s="545"/>
      <c r="D15" s="773"/>
      <c r="E15" s="272"/>
      <c r="F15" s="272"/>
      <c r="G15" s="272"/>
      <c r="H15" s="272"/>
      <c r="I15" s="272"/>
      <c r="J15" s="272"/>
      <c r="K15" s="272"/>
      <c r="L15" s="272"/>
      <c r="M15" s="272"/>
      <c r="N15" s="113">
        <f>IF(AND(E15="Beg. Nov.",G15="1st"),'Point Schedule'!$B$20,IF(AND(E15="Beg. Nov.",G15="2nd"),'Point Schedule'!$B$21,IF(AND(E15="Beg. Nov.",G15="3rd"),'Point Schedule'!$B$22,IF(AND(E15="Beg. Nov.",G15="4th"),'Point Schedule'!$B$23,0))))</f>
        <v>0</v>
      </c>
      <c r="O15" s="113">
        <f>IF(AND($E15="Novice",$G15="1st"),'Point Schedule'!$C$20,IF(AND($E15="Novice",$G15="2nd"),'Point Schedule'!$C$21,IF(AND($E15="Novice",$G15="3rd"),'Point Schedule'!$C$22,IF(AND($E15="Novice",$G15="4th"),'Point Schedule'!$C$23,0))))</f>
        <v>0</v>
      </c>
      <c r="P15" s="113">
        <f>IF(AND($E15="Grad Nov",$G15="1st"),'Point Schedule'!$D$20,IF(AND($E15="Grad Nov",$G15="2nd"),'Point Schedule'!$D$21,IF(AND($E15="Grad Nov",$G15="3rd"),'Point Schedule'!$D$22,IF(AND($E15="Grad Nov",$G15="4th"),'Point Schedule'!$D$23,0))))</f>
        <v>0</v>
      </c>
      <c r="Q15" s="113">
        <f>IF(AND(E15="Open",G15="1st"),'Point Schedule'!$E$20,IF(AND(E15="Open",G15="2nd"),'Point Schedule'!$E$21,IF(AND(E15="Open",G15="3rd"),'Point Schedule'!$E$22,IF(AND(E15="Open",G15="4th"),'Point Schedule'!$E$23,0))))</f>
        <v>0</v>
      </c>
      <c r="R15" s="113">
        <f>IF(AND($E15="Grad Open",$G15="1st"),'Point Schedule'!$F$20,IF(AND($E15="Grad Open",$G15="2nd"),'Point Schedule'!$F$21,IF(AND($E15="Grad Open",$G15="3rd"),'Point Schedule'!$F$22,IF(AND($E15="Grad Open",$G15="4th"),'Point Schedule'!$F$23,0))))</f>
        <v>0</v>
      </c>
      <c r="S15" s="113">
        <f>IF(AND(E15="Utility",G15="1st"),'Point Schedule'!$G$20,IF(AND(E15="Utility",G15="2nd"),'Point Schedule'!$G$21,IF(AND(E15="Utility",G15="3rd"),'Point Schedule'!$G$22,IF(AND(E15="Utility",G15="4th"),'Point Schedule'!$G$23,0))))</f>
        <v>0</v>
      </c>
      <c r="T15" s="113">
        <f>IF(AND($E15="Ver",$G15="1st"),'Point Schedule'!$H$20,IF(AND($E15="Ver",$G15="2nd"),'Point Schedule'!$H$21,IF(AND($E15="Ver",$G15="3rd"),'Point Schedule'!$H$22,IF(AND($E15="Ver",$G15="4th"),'Point Schedule'!$H$23,0))))</f>
        <v>0</v>
      </c>
      <c r="U15" s="113">
        <f>IF(AND($E15="Pref Nov",$G15="1st"),'Point Schedule'!$C$64,IF(AND($E15="Pref Nov",$G15="2nd"),'Point Schedule'!$C$65,IF(AND($E15="Pref Nov",$G15="3rd"),'Point Schedule'!$C$66,IF(AND($E15="Pref Nov",$G15="4th"),'Point Schedule'!$C$67,0))))</f>
        <v>0</v>
      </c>
      <c r="V15" s="113">
        <f>IF(AND($E15="Pref Open",$G15="1st"),'Point Schedule'!$E$64,IF(AND($E15="Pref Open",$G15="2nd"),'Point Schedule'!$E$65,IF(AND($E15="Pref Open",$G15="3rd"),'Point Schedule'!$E$66,IF(AND($E15="Pref Open",$G15="4th"),'Point Schedule'!$E$67,0))))</f>
        <v>0</v>
      </c>
      <c r="W15" s="113">
        <f>IF(AND($E15="Pref Utility",$G15="1st"),'Point Schedule'!$G$64,IF(AND($E15="Pref Utility",$G15="2nd"),'Point Schedule'!$G$65,IF(AND($E15="Pref Utility",$G15="3rd"),'Point Schedule'!$G$66,IF(AND($E15="Pref Utility",$G15="4th"),'Point Schedule'!$G$67,0))))</f>
        <v>0</v>
      </c>
      <c r="X15" s="113">
        <f>IF(AND($E15="Pref Utility",$B15=$B16,NOT($E15=$E16),$J15="Yes"),'Point Schedule'!$C$72,0)</f>
        <v>0</v>
      </c>
      <c r="Y15" s="113">
        <f>IF(AND($E15="Beg. Nov.",$H15="Yes"),'Point Schedule'!$B$25,IF(AND($E15="Novice",$H15="Yes"),'Point Schedule'!$C$25,IF(AND($E15="Pref Nov",$H15="Yes"),'Point Schedule'!$C$69,IF(AND($E15="Grad Nov",$H15="Yes"),'Point Schedule'!$D$25,IF(AND($E15="Open",$H15="Yes"),'Point Schedule'!$E$25,IF(AND($E15="Pref Open",$H15="Yes"),'Point Schedule'!$E$69,IF(AND($E15="Grad Open",$H15="Yes"),'Point Schedule'!$F$25,IF(AND($E15="Ver",$H15="Yes"),'Point Schedule'!$H$25,IF(AND($E15="Utility",$H15="Yes"),'Point Schedule'!$G$25,IF(AND($E15="Pref Utility",$H15="Yes"),'Point Schedule'!$G$69,0))))))))))</f>
        <v>0</v>
      </c>
      <c r="Z15" s="113">
        <f>IF($I15&gt;=195,'Point Schedule'!$C$27,0)</f>
        <v>0</v>
      </c>
      <c r="AA15" s="96">
        <f>IF(AND($E15="Utility",$B15=$B16,NOT($E15=$E16),$J15="Yes"),'[1]Point Schedule'!$C$28,0)</f>
        <v>0</v>
      </c>
      <c r="AB15" s="113">
        <f>IF($K15="Yes",'Point Schedule'!$C$29,0)</f>
        <v>0</v>
      </c>
      <c r="AC15" s="113">
        <f>IF($L15="Yes",'Point Schedule'!$C$30,0)</f>
        <v>0</v>
      </c>
      <c r="AD15" s="114">
        <f>IF(M15="Yes",'Point Schedule'!$C$31,0)</f>
        <v>0</v>
      </c>
      <c r="AE15" s="122">
        <f t="shared" si="0"/>
        <v>0</v>
      </c>
      <c r="AF15" s="123">
        <f t="shared" si="1"/>
        <v>0</v>
      </c>
      <c r="AG15" s="761"/>
    </row>
    <row r="16" spans="1:33" ht="20.149999999999999" customHeight="1" x14ac:dyDescent="0.6">
      <c r="A16" s="387"/>
      <c r="B16" s="273"/>
      <c r="C16" s="772"/>
      <c r="D16" s="773"/>
      <c r="E16" s="272"/>
      <c r="F16" s="272"/>
      <c r="G16" s="272"/>
      <c r="H16" s="272"/>
      <c r="I16" s="272"/>
      <c r="J16" s="272"/>
      <c r="K16" s="272"/>
      <c r="L16" s="272"/>
      <c r="M16" s="272"/>
      <c r="N16" s="113">
        <f>IF(AND(E16="Beg. Nov.",G16="1st"),'Point Schedule'!$B$20,IF(AND(E16="Beg. Nov.",G16="2nd"),'Point Schedule'!$B$21,IF(AND(E16="Beg. Nov.",G16="3rd"),'Point Schedule'!$B$22,IF(AND(E16="Beg. Nov.",G16="4th"),'Point Schedule'!$B$23,0))))</f>
        <v>0</v>
      </c>
      <c r="O16" s="113">
        <f>IF(AND($E16="Novice",$G16="1st"),'Point Schedule'!$C$20,IF(AND($E16="Novice",$G16="2nd"),'Point Schedule'!$C$21,IF(AND($E16="Novice",$G16="3rd"),'Point Schedule'!$C$22,IF(AND($E16="Novice",$G16="4th"),'Point Schedule'!$C$23,0))))</f>
        <v>0</v>
      </c>
      <c r="P16" s="113">
        <f>IF(AND($E16="Grad Nov",$G16="1st"),'Point Schedule'!$D$20,IF(AND($E16="Grad Nov",$G16="2nd"),'Point Schedule'!$D$21,IF(AND($E16="Grad Nov",$G16="3rd"),'Point Schedule'!$D$22,IF(AND($E16="Grad Nov",$G16="4th"),'Point Schedule'!$D$23,0))))</f>
        <v>0</v>
      </c>
      <c r="Q16" s="113">
        <f>IF(AND(E16="Open",G16="1st"),'Point Schedule'!$E$20,IF(AND(E16="Open",G16="2nd"),'Point Schedule'!$E$21,IF(AND(E16="Open",G16="3rd"),'Point Schedule'!$E$22,IF(AND(E16="Open",G16="4th"),'Point Schedule'!$E$23,0))))</f>
        <v>0</v>
      </c>
      <c r="R16" s="113">
        <f>IF(AND($E16="Grad Open",$G16="1st"),'Point Schedule'!$F$20,IF(AND($E16="Grad Open",$G16="2nd"),'Point Schedule'!$F$21,IF(AND($E16="Grad Open",$G16="3rd"),'Point Schedule'!$F$22,IF(AND($E16="Grad Open",$G16="4th"),'Point Schedule'!$F$23,0))))</f>
        <v>0</v>
      </c>
      <c r="S16" s="113">
        <f>IF(AND(E16="Utility",G16="1st"),'Point Schedule'!$G$20,IF(AND(E16="Utility",G16="2nd"),'Point Schedule'!$G$21,IF(AND(E16="Utility",G16="3rd"),'Point Schedule'!$G$22,IF(AND(E16="Utility",G16="4th"),'Point Schedule'!$G$23,0))))</f>
        <v>0</v>
      </c>
      <c r="T16" s="113">
        <f>IF(AND($E16="Ver",$G16="1st"),'Point Schedule'!$H$20,IF(AND($E16="Ver",$G16="2nd"),'Point Schedule'!$H$21,IF(AND($E16="Ver",$G16="3rd"),'Point Schedule'!$H$22,IF(AND($E16="Ver",$G16="4th"),'Point Schedule'!$H$23,0))))</f>
        <v>0</v>
      </c>
      <c r="U16" s="113">
        <f>IF(AND($E16="Pref Nov",$G16="1st"),'Point Schedule'!$C$64,IF(AND($E16="Pref Nov",$G16="2nd"),'Point Schedule'!$C$65,IF(AND($E16="Pref Nov",$G16="3rd"),'Point Schedule'!$C$66,IF(AND($E16="Pref Nov",$G16="4th"),'Point Schedule'!$C$67,0))))</f>
        <v>0</v>
      </c>
      <c r="V16" s="113">
        <f>IF(AND($E16="Pref Open",$G16="1st"),'Point Schedule'!$E$64,IF(AND($E16="Pref Open",$G16="2nd"),'Point Schedule'!$E$65,IF(AND($E16="Pref Open",$G16="3rd"),'Point Schedule'!$E$66,IF(AND($E16="Pref Open",$G16="4th"),'Point Schedule'!$E$67,0))))</f>
        <v>0</v>
      </c>
      <c r="W16" s="113">
        <f>IF(AND($E16="Pref Utility",$G16="1st"),'Point Schedule'!$G$64,IF(AND($E16="Pref Utility",$G16="2nd"),'Point Schedule'!$G$65,IF(AND($E16="Pref Utility",$G16="3rd"),'Point Schedule'!$G$66,IF(AND($E16="Pref Utility",$G16="4th"),'Point Schedule'!$G$67,0))))</f>
        <v>0</v>
      </c>
      <c r="X16" s="113">
        <f>IF(AND($E16="Pref Utility",$B16=$B17,NOT($E16=$E17),$J16="Yes"),'Point Schedule'!$C$72,0)</f>
        <v>0</v>
      </c>
      <c r="Y16" s="113">
        <f>IF(AND($E16="Beg. Nov.",$H16="Yes"),'Point Schedule'!$B$25,IF(AND($E16="Novice",$H16="Yes"),'Point Schedule'!$C$25,IF(AND($E16="Pref Nov",$H16="Yes"),'Point Schedule'!$C$69,IF(AND($E16="Grad Nov",$H16="Yes"),'Point Schedule'!$D$25,IF(AND($E16="Open",$H16="Yes"),'Point Schedule'!$E$25,IF(AND($E16="Pref Open",$H16="Yes"),'Point Schedule'!$E$69,IF(AND($E16="Grad Open",$H16="Yes"),'Point Schedule'!$F$25,IF(AND($E16="Ver",$H16="Yes"),'Point Schedule'!$H$25,IF(AND($E16="Utility",$H16="Yes"),'Point Schedule'!$G$25,IF(AND($E16="Pref Utility",$H16="Yes"),'Point Schedule'!$G$69,0))))))))))</f>
        <v>0</v>
      </c>
      <c r="Z16" s="113">
        <f>IF($I16&gt;=195,'Point Schedule'!$C$27,0)</f>
        <v>0</v>
      </c>
      <c r="AA16" s="96">
        <f>IF(AND($E16="Utility",$B16=$B17,NOT($E16=$E17),$J16="Yes"),'[1]Point Schedule'!$C$28,0)</f>
        <v>0</v>
      </c>
      <c r="AB16" s="113">
        <f>IF($K16="Yes",'Point Schedule'!$C$29,0)</f>
        <v>0</v>
      </c>
      <c r="AC16" s="113">
        <f>IF($L16="Yes",'Point Schedule'!$C$30,0)</f>
        <v>0</v>
      </c>
      <c r="AD16" s="114">
        <f>IF(M16="Yes",'Point Schedule'!$C$31,0)</f>
        <v>0</v>
      </c>
      <c r="AE16" s="122">
        <f t="shared" si="0"/>
        <v>0</v>
      </c>
      <c r="AF16" s="123">
        <f t="shared" si="1"/>
        <v>0</v>
      </c>
      <c r="AG16" s="761"/>
    </row>
    <row r="17" spans="1:33" ht="20.149999999999999" customHeight="1" x14ac:dyDescent="0.6">
      <c r="A17" s="387"/>
      <c r="B17" s="273"/>
      <c r="C17" s="772"/>
      <c r="D17" s="773"/>
      <c r="E17" s="272"/>
      <c r="F17" s="272"/>
      <c r="G17" s="272"/>
      <c r="H17" s="272"/>
      <c r="I17" s="272"/>
      <c r="J17" s="272"/>
      <c r="K17" s="272"/>
      <c r="L17" s="272"/>
      <c r="M17" s="272"/>
      <c r="N17" s="113">
        <f>IF(AND(E17="Beg. Nov.",G17="1st"),'Point Schedule'!$B$20,IF(AND(E17="Beg. Nov.",G17="2nd"),'Point Schedule'!$B$21,IF(AND(E17="Beg. Nov.",G17="3rd"),'Point Schedule'!$B$22,IF(AND(E17="Beg. Nov.",G17="4th"),'Point Schedule'!$B$23,0))))</f>
        <v>0</v>
      </c>
      <c r="O17" s="113">
        <f>IF(AND($E17="Novice",$G17="1st"),'Point Schedule'!$C$20,IF(AND($E17="Novice",$G17="2nd"),'Point Schedule'!$C$21,IF(AND($E17="Novice",$G17="3rd"),'Point Schedule'!$C$22,IF(AND($E17="Novice",$G17="4th"),'Point Schedule'!$C$23,0))))</f>
        <v>0</v>
      </c>
      <c r="P17" s="113">
        <f>IF(AND($E17="Grad Nov",$G17="1st"),'Point Schedule'!$D$20,IF(AND($E17="Grad Nov",$G17="2nd"),'Point Schedule'!$D$21,IF(AND($E17="Grad Nov",$G17="3rd"),'Point Schedule'!$D$22,IF(AND($E17="Grad Nov",$G17="4th"),'Point Schedule'!$D$23,0))))</f>
        <v>0</v>
      </c>
      <c r="Q17" s="113">
        <f>IF(AND(E17="Open",G17="1st"),'Point Schedule'!$E$20,IF(AND(E17="Open",G17="2nd"),'Point Schedule'!$E$21,IF(AND(E17="Open",G17="3rd"),'Point Schedule'!$E$22,IF(AND(E17="Open",G17="4th"),'Point Schedule'!$E$23,0))))</f>
        <v>0</v>
      </c>
      <c r="R17" s="113">
        <f>IF(AND($E17="Grad Open",$G17="1st"),'Point Schedule'!$F$20,IF(AND($E17="Grad Open",$G17="2nd"),'Point Schedule'!$F$21,IF(AND($E17="Grad Open",$G17="3rd"),'Point Schedule'!$F$22,IF(AND($E17="Grad Open",$G17="4th"),'Point Schedule'!$F$23,0))))</f>
        <v>0</v>
      </c>
      <c r="S17" s="113">
        <f>IF(AND(E17="Utility",G17="1st"),'Point Schedule'!$G$20,IF(AND(E17="Utility",G17="2nd"),'Point Schedule'!$G$21,IF(AND(E17="Utility",G17="3rd"),'Point Schedule'!$G$22,IF(AND(E17="Utility",G17="4th"),'Point Schedule'!$G$23,0))))</f>
        <v>0</v>
      </c>
      <c r="T17" s="113">
        <f>IF(AND($E17="Ver",$G17="1st"),'Point Schedule'!$H$20,IF(AND($E17="Ver",$G17="2nd"),'Point Schedule'!$H$21,IF(AND($E17="Ver",$G17="3rd"),'Point Schedule'!$H$22,IF(AND($E17="Ver",$G17="4th"),'Point Schedule'!$H$23,0))))</f>
        <v>0</v>
      </c>
      <c r="U17" s="113">
        <f>IF(AND($E17="Pref Nov",$G17="1st"),'Point Schedule'!$C$64,IF(AND($E17="Pref Nov",$G17="2nd"),'Point Schedule'!$C$65,IF(AND($E17="Pref Nov",$G17="3rd"),'Point Schedule'!$C$66,IF(AND($E17="Pref Nov",$G17="4th"),'Point Schedule'!$C$67,0))))</f>
        <v>0</v>
      </c>
      <c r="V17" s="113">
        <f>IF(AND($E17="Pref Open",$G17="1st"),'Point Schedule'!$E$64,IF(AND($E17="Pref Open",$G17="2nd"),'Point Schedule'!$E$65,IF(AND($E17="Pref Open",$G17="3rd"),'Point Schedule'!$E$66,IF(AND($E17="Pref Open",$G17="4th"),'Point Schedule'!$E$67,0))))</f>
        <v>0</v>
      </c>
      <c r="W17" s="113">
        <f>IF(AND($E17="Pref Utility",$G17="1st"),'Point Schedule'!$G$64,IF(AND($E17="Pref Utility",$G17="2nd"),'Point Schedule'!$G$65,IF(AND($E17="Pref Utility",$G17="3rd"),'Point Schedule'!$G$66,IF(AND($E17="Pref Utility",$G17="4th"),'Point Schedule'!$G$67,0))))</f>
        <v>0</v>
      </c>
      <c r="X17" s="113">
        <f>IF(AND($E17="Pref Utility",$B17=$B18,NOT($E17=$E18),$J17="Yes"),'Point Schedule'!$C$72,0)</f>
        <v>0</v>
      </c>
      <c r="Y17" s="113">
        <f>IF(AND($E17="Beg. Nov.",$H17="Yes"),'Point Schedule'!$B$25,IF(AND($E17="Novice",$H17="Yes"),'Point Schedule'!$C$25,IF(AND($E17="Pref Nov",$H17="Yes"),'Point Schedule'!$C$69,IF(AND($E17="Grad Nov",$H17="Yes"),'Point Schedule'!$D$25,IF(AND($E17="Open",$H17="Yes"),'Point Schedule'!$E$25,IF(AND($E17="Pref Open",$H17="Yes"),'Point Schedule'!$E$69,IF(AND($E17="Grad Open",$H17="Yes"),'Point Schedule'!$F$25,IF(AND($E17="Ver",$H17="Yes"),'Point Schedule'!$H$25,IF(AND($E17="Utility",$H17="Yes"),'Point Schedule'!$G$25,IF(AND($E17="Pref Utility",$H17="Yes"),'Point Schedule'!$G$69,0))))))))))</f>
        <v>0</v>
      </c>
      <c r="Z17" s="113">
        <f>IF($I17&gt;=195,'Point Schedule'!$C$27,0)</f>
        <v>0</v>
      </c>
      <c r="AA17" s="96">
        <f>IF(AND($E17="Utility",$B17=$B18,NOT($E17=$E18),$J17="Yes"),'[1]Point Schedule'!$C$28,0)</f>
        <v>0</v>
      </c>
      <c r="AB17" s="113">
        <f>IF($K17="Yes",'Point Schedule'!$C$29,0)</f>
        <v>0</v>
      </c>
      <c r="AC17" s="113">
        <f>IF($L17="Yes",'Point Schedule'!$C$30,0)</f>
        <v>0</v>
      </c>
      <c r="AD17" s="114">
        <f>IF(M17="Yes",'Point Schedule'!$C$31,0)</f>
        <v>0</v>
      </c>
      <c r="AE17" s="122">
        <f t="shared" si="0"/>
        <v>0</v>
      </c>
      <c r="AF17" s="123">
        <f t="shared" si="1"/>
        <v>0</v>
      </c>
      <c r="AG17" s="761"/>
    </row>
    <row r="18" spans="1:33" ht="20.149999999999999" customHeight="1" x14ac:dyDescent="0.6">
      <c r="A18" s="387"/>
      <c r="B18" s="273"/>
      <c r="C18" s="772"/>
      <c r="D18" s="773"/>
      <c r="E18" s="272"/>
      <c r="F18" s="272"/>
      <c r="G18" s="272"/>
      <c r="H18" s="272"/>
      <c r="I18" s="272"/>
      <c r="J18" s="272"/>
      <c r="K18" s="272"/>
      <c r="L18" s="272"/>
      <c r="M18" s="272"/>
      <c r="N18" s="113">
        <f>IF(AND(E18="Beg. Nov.",G18="1st"),'Point Schedule'!$B$20,IF(AND(E18="Beg. Nov.",G18="2nd"),'Point Schedule'!$B$21,IF(AND(E18="Beg. Nov.",G18="3rd"),'Point Schedule'!$B$22,IF(AND(E18="Beg. Nov.",G18="4th"),'Point Schedule'!$B$23,0))))</f>
        <v>0</v>
      </c>
      <c r="O18" s="113">
        <f>IF(AND($E18="Novice",$G18="1st"),'Point Schedule'!$C$20,IF(AND($E18="Novice",$G18="2nd"),'Point Schedule'!$C$21,IF(AND($E18="Novice",$G18="3rd"),'Point Schedule'!$C$22,IF(AND($E18="Novice",$G18="4th"),'Point Schedule'!$C$23,0))))</f>
        <v>0</v>
      </c>
      <c r="P18" s="113">
        <f>IF(AND($E18="Grad Nov",$G18="1st"),'Point Schedule'!$D$20,IF(AND($E18="Grad Nov",$G18="2nd"),'Point Schedule'!$D$21,IF(AND($E18="Grad Nov",$G18="3rd"),'Point Schedule'!$D$22,IF(AND($E18="Grad Nov",$G18="4th"),'Point Schedule'!$D$23,0))))</f>
        <v>0</v>
      </c>
      <c r="Q18" s="113">
        <f>IF(AND(E18="Open",G18="1st"),'Point Schedule'!$E$20,IF(AND(E18="Open",G18="2nd"),'Point Schedule'!$E$21,IF(AND(E18="Open",G18="3rd"),'Point Schedule'!$E$22,IF(AND(E18="Open",G18="4th"),'Point Schedule'!$E$23,0))))</f>
        <v>0</v>
      </c>
      <c r="R18" s="113">
        <f>IF(AND($E18="Grad Open",$G18="1st"),'Point Schedule'!$F$20,IF(AND($E18="Grad Open",$G18="2nd"),'Point Schedule'!$F$21,IF(AND($E18="Grad Open",$G18="3rd"),'Point Schedule'!$F$22,IF(AND($E18="Grad Open",$G18="4th"),'Point Schedule'!$F$23,0))))</f>
        <v>0</v>
      </c>
      <c r="S18" s="113">
        <f>IF(AND(E18="Utility",G18="1st"),'Point Schedule'!$G$20,IF(AND(E18="Utility",G18="2nd"),'Point Schedule'!$G$21,IF(AND(E18="Utility",G18="3rd"),'Point Schedule'!$G$22,IF(AND(E18="Utility",G18="4th"),'Point Schedule'!$G$23,0))))</f>
        <v>0</v>
      </c>
      <c r="T18" s="113">
        <f>IF(AND($E18="Ver",$G18="1st"),'Point Schedule'!$H$20,IF(AND($E18="Ver",$G18="2nd"),'Point Schedule'!$H$21,IF(AND($E18="Ver",$G18="3rd"),'Point Schedule'!$H$22,IF(AND($E18="Ver",$G18="4th"),'Point Schedule'!$H$23,0))))</f>
        <v>0</v>
      </c>
      <c r="U18" s="113">
        <f>IF(AND($E18="Pref Nov",$G18="1st"),'Point Schedule'!$C$64,IF(AND($E18="Pref Nov",$G18="2nd"),'Point Schedule'!$C$65,IF(AND($E18="Pref Nov",$G18="3rd"),'Point Schedule'!$C$66,IF(AND($E18="Pref Nov",$G18="4th"),'Point Schedule'!$C$67,0))))</f>
        <v>0</v>
      </c>
      <c r="V18" s="113">
        <f>IF(AND($E18="Pref Open",$G18="1st"),'Point Schedule'!$E$64,IF(AND($E18="Pref Open",$G18="2nd"),'Point Schedule'!$E$65,IF(AND($E18="Pref Open",$G18="3rd"),'Point Schedule'!$E$66,IF(AND($E18="Pref Open",$G18="4th"),'Point Schedule'!$E$67,0))))</f>
        <v>0</v>
      </c>
      <c r="W18" s="113">
        <f>IF(AND($E18="Pref Utility",$G18="1st"),'Point Schedule'!$G$64,IF(AND($E18="Pref Utility",$G18="2nd"),'Point Schedule'!$G$65,IF(AND($E18="Pref Utility",$G18="3rd"),'Point Schedule'!$G$66,IF(AND($E18="Pref Utility",$G18="4th"),'Point Schedule'!$G$67,0))))</f>
        <v>0</v>
      </c>
      <c r="X18" s="113">
        <f>IF(AND($E18="Pref Utility",$B18=$B19,NOT($E18=$E19),$J18="Yes"),'Point Schedule'!$C$72,0)</f>
        <v>0</v>
      </c>
      <c r="Y18" s="113">
        <f>IF(AND($E18="Beg. Nov.",$H18="Yes"),'Point Schedule'!$B$25,IF(AND($E18="Novice",$H18="Yes"),'Point Schedule'!$C$25,IF(AND($E18="Pref Nov",$H18="Yes"),'Point Schedule'!$C$69,IF(AND($E18="Grad Nov",$H18="Yes"),'Point Schedule'!$D$25,IF(AND($E18="Open",$H18="Yes"),'Point Schedule'!$E$25,IF(AND($E18="Pref Open",$H18="Yes"),'Point Schedule'!$E$69,IF(AND($E18="Grad Open",$H18="Yes"),'Point Schedule'!$F$25,IF(AND($E18="Ver",$H18="Yes"),'Point Schedule'!$H$25,IF(AND($E18="Utility",$H18="Yes"),'Point Schedule'!$G$25,IF(AND($E18="Pref Utility",$H18="Yes"),'Point Schedule'!$G$69,0))))))))))</f>
        <v>0</v>
      </c>
      <c r="Z18" s="113">
        <f>IF($I18&gt;=195,'Point Schedule'!$C$27,0)</f>
        <v>0</v>
      </c>
      <c r="AA18" s="96">
        <f>IF(AND($E18="Utility",$B18=$B19,NOT($E18=$E19),$J18="Yes"),'[1]Point Schedule'!$C$28,0)</f>
        <v>0</v>
      </c>
      <c r="AB18" s="113">
        <f>IF($K18="Yes",'Point Schedule'!$C$29,0)</f>
        <v>0</v>
      </c>
      <c r="AC18" s="113">
        <f>IF($L18="Yes",'Point Schedule'!$C$30,0)</f>
        <v>0</v>
      </c>
      <c r="AD18" s="114">
        <f>IF(M18="Yes",'Point Schedule'!$C$31,0)</f>
        <v>0</v>
      </c>
      <c r="AE18" s="122">
        <f t="shared" si="0"/>
        <v>0</v>
      </c>
      <c r="AF18" s="123">
        <f t="shared" si="1"/>
        <v>0</v>
      </c>
      <c r="AG18" s="761"/>
    </row>
    <row r="19" spans="1:33" ht="20.149999999999999" customHeight="1" x14ac:dyDescent="0.6">
      <c r="A19" s="387"/>
      <c r="B19" s="273"/>
      <c r="C19" s="772"/>
      <c r="D19" s="773"/>
      <c r="E19" s="272"/>
      <c r="F19" s="272"/>
      <c r="G19" s="272"/>
      <c r="H19" s="272"/>
      <c r="I19" s="272"/>
      <c r="J19" s="272"/>
      <c r="K19" s="272"/>
      <c r="L19" s="272"/>
      <c r="M19" s="272"/>
      <c r="N19" s="113">
        <f>IF(AND(E19="Beg. Nov.",G19="1st"),'Point Schedule'!$B$20,IF(AND(E19="Beg. Nov.",G19="2nd"),'Point Schedule'!$B$21,IF(AND(E19="Beg. Nov.",G19="3rd"),'Point Schedule'!$B$22,IF(AND(E19="Beg. Nov.",G19="4th"),'Point Schedule'!$B$23,0))))</f>
        <v>0</v>
      </c>
      <c r="O19" s="113">
        <f>IF(AND($E19="Novice",$G19="1st"),'Point Schedule'!$C$20,IF(AND($E19="Novice",$G19="2nd"),'Point Schedule'!$C$21,IF(AND($E19="Novice",$G19="3rd"),'Point Schedule'!$C$22,IF(AND($E19="Novice",$G19="4th"),'Point Schedule'!$C$23,0))))</f>
        <v>0</v>
      </c>
      <c r="P19" s="113">
        <f>IF(AND($E19="Grad Nov",$G19="1st"),'Point Schedule'!$D$20,IF(AND($E19="Grad Nov",$G19="2nd"),'Point Schedule'!$D$21,IF(AND($E19="Grad Nov",$G19="3rd"),'Point Schedule'!$D$22,IF(AND($E19="Grad Nov",$G19="4th"),'Point Schedule'!$D$23,0))))</f>
        <v>0</v>
      </c>
      <c r="Q19" s="113">
        <f>IF(AND(E19="Open",G19="1st"),'Point Schedule'!$E$20,IF(AND(E19="Open",G19="2nd"),'Point Schedule'!$E$21,IF(AND(E19="Open",G19="3rd"),'Point Schedule'!$E$22,IF(AND(E19="Open",G19="4th"),'Point Schedule'!$E$23,0))))</f>
        <v>0</v>
      </c>
      <c r="R19" s="113">
        <f>IF(AND($E19="Grad Open",$G19="1st"),'Point Schedule'!$F$20,IF(AND($E19="Grad Open",$G19="2nd"),'Point Schedule'!$F$21,IF(AND($E19="Grad Open",$G19="3rd"),'Point Schedule'!$F$22,IF(AND($E19="Grad Open",$G19="4th"),'Point Schedule'!$F$23,0))))</f>
        <v>0</v>
      </c>
      <c r="S19" s="113">
        <f>IF(AND(E19="Utility",G19="1st"),'Point Schedule'!$G$20,IF(AND(E19="Utility",G19="2nd"),'Point Schedule'!$G$21,IF(AND(E19="Utility",G19="3rd"),'Point Schedule'!$G$22,IF(AND(E19="Utility",G19="4th"),'Point Schedule'!$G$23,0))))</f>
        <v>0</v>
      </c>
      <c r="T19" s="113">
        <f>IF(AND($E19="Ver",$G19="1st"),'Point Schedule'!$H$20,IF(AND($E19="Ver",$G19="2nd"),'Point Schedule'!$H$21,IF(AND($E19="Ver",$G19="3rd"),'Point Schedule'!$H$22,IF(AND($E19="Ver",$G19="4th"),'Point Schedule'!$H$23,0))))</f>
        <v>0</v>
      </c>
      <c r="U19" s="113">
        <f>IF(AND($E19="Pref Nov",$G19="1st"),'Point Schedule'!$C$64,IF(AND($E19="Pref Nov",$G19="2nd"),'Point Schedule'!$C$65,IF(AND($E19="Pref Nov",$G19="3rd"),'Point Schedule'!$C$66,IF(AND($E19="Pref Nov",$G19="4th"),'Point Schedule'!$C$67,0))))</f>
        <v>0</v>
      </c>
      <c r="V19" s="113">
        <f>IF(AND($E19="Pref Open",$G19="1st"),'Point Schedule'!$E$64,IF(AND($E19="Pref Open",$G19="2nd"),'Point Schedule'!$E$65,IF(AND($E19="Pref Open",$G19="3rd"),'Point Schedule'!$E$66,IF(AND($E19="Pref Open",$G19="4th"),'Point Schedule'!$E$67,0))))</f>
        <v>0</v>
      </c>
      <c r="W19" s="113">
        <f>IF(AND($E19="Pref Utility",$G19="1st"),'Point Schedule'!$G$64,IF(AND($E19="Pref Utility",$G19="2nd"),'Point Schedule'!$G$65,IF(AND($E19="Pref Utility",$G19="3rd"),'Point Schedule'!$G$66,IF(AND($E19="Pref Utility",$G19="4th"),'Point Schedule'!$G$67,0))))</f>
        <v>0</v>
      </c>
      <c r="X19" s="113">
        <f>IF(AND($E19="Pref Utility",$B19=$B20,NOT($E19=$E20),$J19="Yes"),'Point Schedule'!$C$72,0)</f>
        <v>0</v>
      </c>
      <c r="Y19" s="113">
        <f>IF(AND($E19="Beg. Nov.",$H19="Yes"),'Point Schedule'!$B$25,IF(AND($E19="Novice",$H19="Yes"),'Point Schedule'!$C$25,IF(AND($E19="Pref Nov",$H19="Yes"),'Point Schedule'!$C$69,IF(AND($E19="Grad Nov",$H19="Yes"),'Point Schedule'!$D$25,IF(AND($E19="Open",$H19="Yes"),'Point Schedule'!$E$25,IF(AND($E19="Pref Open",$H19="Yes"),'Point Schedule'!$E$69,IF(AND($E19="Grad Open",$H19="Yes"),'Point Schedule'!$F$25,IF(AND($E19="Ver",$H19="Yes"),'Point Schedule'!$H$25,IF(AND($E19="Utility",$H19="Yes"),'Point Schedule'!$G$25,IF(AND($E19="Pref Utility",$H19="Yes"),'Point Schedule'!$G$69,0))))))))))</f>
        <v>0</v>
      </c>
      <c r="Z19" s="113">
        <f>IF($I19&gt;=195,'Point Schedule'!$C$27,0)</f>
        <v>0</v>
      </c>
      <c r="AA19" s="96">
        <f>IF(AND($E19="Utility",$B19=$B20,NOT($E19=$E20),$J19="Yes"),'[1]Point Schedule'!$C$28,0)</f>
        <v>0</v>
      </c>
      <c r="AB19" s="113">
        <f>IF($K19="Yes",'Point Schedule'!$C$29,0)</f>
        <v>0</v>
      </c>
      <c r="AC19" s="113">
        <f>IF($L19="Yes",'Point Schedule'!$C$30,0)</f>
        <v>0</v>
      </c>
      <c r="AD19" s="114">
        <f>IF(M19="Yes",'Point Schedule'!$C$31,0)</f>
        <v>0</v>
      </c>
      <c r="AE19" s="122">
        <f t="shared" si="0"/>
        <v>0</v>
      </c>
      <c r="AF19" s="123">
        <f t="shared" si="1"/>
        <v>0</v>
      </c>
      <c r="AG19" s="761"/>
    </row>
    <row r="20" spans="1:33" ht="20.149999999999999" customHeight="1" x14ac:dyDescent="0.6">
      <c r="A20" s="387"/>
      <c r="B20" s="273"/>
      <c r="C20" s="772"/>
      <c r="D20" s="773"/>
      <c r="E20" s="272"/>
      <c r="F20" s="272"/>
      <c r="G20" s="272"/>
      <c r="H20" s="272"/>
      <c r="I20" s="272"/>
      <c r="J20" s="272"/>
      <c r="K20" s="272"/>
      <c r="L20" s="272"/>
      <c r="M20" s="272"/>
      <c r="N20" s="113">
        <f>IF(AND(E20="Beg. Nov.",G20="1st"),'Point Schedule'!$B$20,IF(AND(E20="Beg. Nov.",G20="2nd"),'Point Schedule'!$B$21,IF(AND(E20="Beg. Nov.",G20="3rd"),'Point Schedule'!$B$22,IF(AND(E20="Beg. Nov.",G20="4th"),'Point Schedule'!$B$23,0))))</f>
        <v>0</v>
      </c>
      <c r="O20" s="113">
        <f>IF(AND($E20="Novice",$G20="1st"),'Point Schedule'!$C$20,IF(AND($E20="Novice",$G20="2nd"),'Point Schedule'!$C$21,IF(AND($E20="Novice",$G20="3rd"),'Point Schedule'!$C$22,IF(AND($E20="Novice",$G20="4th"),'Point Schedule'!$C$23,0))))</f>
        <v>0</v>
      </c>
      <c r="P20" s="113">
        <f>IF(AND($E20="Grad Nov",$G20="1st"),'Point Schedule'!$D$20,IF(AND($E20="Grad Nov",$G20="2nd"),'Point Schedule'!$D$21,IF(AND($E20="Grad Nov",$G20="3rd"),'Point Schedule'!$D$22,IF(AND($E20="Grad Nov",$G20="4th"),'Point Schedule'!$D$23,0))))</f>
        <v>0</v>
      </c>
      <c r="Q20" s="113">
        <f>IF(AND(E20="Open",G20="1st"),'Point Schedule'!$E$20,IF(AND(E20="Open",G20="2nd"),'Point Schedule'!$E$21,IF(AND(E20="Open",G20="3rd"),'Point Schedule'!$E$22,IF(AND(E20="Open",G20="4th"),'Point Schedule'!$E$23,0))))</f>
        <v>0</v>
      </c>
      <c r="R20" s="113">
        <f>IF(AND($E20="Grad Open",$G20="1st"),'Point Schedule'!$F$20,IF(AND($E20="Grad Open",$G20="2nd"),'Point Schedule'!$F$21,IF(AND($E20="Grad Open",$G20="3rd"),'Point Schedule'!$F$22,IF(AND($E20="Grad Open",$G20="4th"),'Point Schedule'!$F$23,0))))</f>
        <v>0</v>
      </c>
      <c r="S20" s="113">
        <f>IF(AND(E20="Utility",G20="1st"),'Point Schedule'!$G$20,IF(AND(E20="Utility",G20="2nd"),'Point Schedule'!$G$21,IF(AND(E20="Utility",G20="3rd"),'Point Schedule'!$G$22,IF(AND(E20="Utility",G20="4th"),'Point Schedule'!$G$23,0))))</f>
        <v>0</v>
      </c>
      <c r="T20" s="113">
        <f>IF(AND($E20="Ver",$G20="1st"),'Point Schedule'!$H$20,IF(AND($E20="Ver",$G20="2nd"),'Point Schedule'!$H$21,IF(AND($E20="Ver",$G20="3rd"),'Point Schedule'!$H$22,IF(AND($E20="Ver",$G20="4th"),'Point Schedule'!$H$23,0))))</f>
        <v>0</v>
      </c>
      <c r="U20" s="113">
        <f>IF(AND($E20="Pref Nov",$G20="1st"),'Point Schedule'!$C$64,IF(AND($E20="Pref Nov",$G20="2nd"),'Point Schedule'!$C$65,IF(AND($E20="Pref Nov",$G20="3rd"),'Point Schedule'!$C$66,IF(AND($E20="Pref Nov",$G20="4th"),'Point Schedule'!$C$67,0))))</f>
        <v>0</v>
      </c>
      <c r="V20" s="113">
        <f>IF(AND($E20="Pref Open",$G20="1st"),'Point Schedule'!$E$64,IF(AND($E20="Pref Open",$G20="2nd"),'Point Schedule'!$E$65,IF(AND($E20="Pref Open",$G20="3rd"),'Point Schedule'!$E$66,IF(AND($E20="Pref Open",$G20="4th"),'Point Schedule'!$E$67,0))))</f>
        <v>0</v>
      </c>
      <c r="W20" s="113">
        <f>IF(AND($E20="Pref Utility",$G20="1st"),'Point Schedule'!$G$64,IF(AND($E20="Pref Utility",$G20="2nd"),'Point Schedule'!$G$65,IF(AND($E20="Pref Utility",$G20="3rd"),'Point Schedule'!$G$66,IF(AND($E20="Pref Utility",$G20="4th"),'Point Schedule'!$G$67,0))))</f>
        <v>0</v>
      </c>
      <c r="X20" s="113">
        <f>IF(AND($E20="Pref Utility",$B20=$B21,NOT($E20=$E21),$J20="Yes"),'Point Schedule'!$C$72,0)</f>
        <v>0</v>
      </c>
      <c r="Y20" s="113">
        <f>IF(AND($E20="Beg. Nov.",$H20="Yes"),'Point Schedule'!$B$25,IF(AND($E20="Novice",$H20="Yes"),'Point Schedule'!$C$25,IF(AND($E20="Pref Nov",$H20="Yes"),'Point Schedule'!$C$69,IF(AND($E20="Grad Nov",$H20="Yes"),'Point Schedule'!$D$25,IF(AND($E20="Open",$H20="Yes"),'Point Schedule'!$E$25,IF(AND($E20="Pref Open",$H20="Yes"),'Point Schedule'!$E$69,IF(AND($E20="Grad Open",$H20="Yes"),'Point Schedule'!$F$25,IF(AND($E20="Ver",$H20="Yes"),'Point Schedule'!$H$25,IF(AND($E20="Utility",$H20="Yes"),'Point Schedule'!$G$25,IF(AND($E20="Pref Utility",$H20="Yes"),'Point Schedule'!$G$69,0))))))))))</f>
        <v>0</v>
      </c>
      <c r="Z20" s="113">
        <f>IF($I20&gt;=195,'Point Schedule'!$C$27,0)</f>
        <v>0</v>
      </c>
      <c r="AA20" s="96">
        <f>IF(AND($E20="Utility",$B20=$B21,NOT($E20=$E21),$J20="Yes"),'[1]Point Schedule'!$C$28,0)</f>
        <v>0</v>
      </c>
      <c r="AB20" s="113">
        <f>IF($K20="Yes",'Point Schedule'!$C$29,0)</f>
        <v>0</v>
      </c>
      <c r="AC20" s="113">
        <f>IF($L20="Yes",'Point Schedule'!$C$30,0)</f>
        <v>0</v>
      </c>
      <c r="AD20" s="114">
        <f>IF(M20="Yes",'Point Schedule'!$C$31,0)</f>
        <v>0</v>
      </c>
      <c r="AE20" s="122">
        <f t="shared" si="0"/>
        <v>0</v>
      </c>
      <c r="AF20" s="123">
        <f t="shared" si="1"/>
        <v>0</v>
      </c>
      <c r="AG20" s="761"/>
    </row>
    <row r="21" spans="1:33" ht="20.149999999999999" customHeight="1" x14ac:dyDescent="0.6">
      <c r="A21" s="387"/>
      <c r="B21" s="273"/>
      <c r="C21" s="772"/>
      <c r="D21" s="773"/>
      <c r="E21" s="272"/>
      <c r="F21" s="272"/>
      <c r="G21" s="272"/>
      <c r="H21" s="272"/>
      <c r="I21" s="272"/>
      <c r="J21" s="272"/>
      <c r="K21" s="272"/>
      <c r="L21" s="272"/>
      <c r="M21" s="272"/>
      <c r="N21" s="113">
        <f>IF(AND(E21="Beg. Nov.",G21="1st"),'Point Schedule'!$B$20,IF(AND(E21="Beg. Nov.",G21="2nd"),'Point Schedule'!$B$21,IF(AND(E21="Beg. Nov.",G21="3rd"),'Point Schedule'!$B$22,IF(AND(E21="Beg. Nov.",G21="4th"),'Point Schedule'!$B$23,0))))</f>
        <v>0</v>
      </c>
      <c r="O21" s="113">
        <f>IF(AND($E21="Novice",$G21="1st"),'Point Schedule'!$C$20,IF(AND($E21="Novice",$G21="2nd"),'Point Schedule'!$C$21,IF(AND($E21="Novice",$G21="3rd"),'Point Schedule'!$C$22,IF(AND($E21="Novice",$G21="4th"),'Point Schedule'!$C$23,0))))</f>
        <v>0</v>
      </c>
      <c r="P21" s="113">
        <f>IF(AND($E21="Grad Nov",$G21="1st"),'Point Schedule'!$D$20,IF(AND($E21="Grad Nov",$G21="2nd"),'Point Schedule'!$D$21,IF(AND($E21="Grad Nov",$G21="3rd"),'Point Schedule'!$D$22,IF(AND($E21="Grad Nov",$G21="4th"),'Point Schedule'!$D$23,0))))</f>
        <v>0</v>
      </c>
      <c r="Q21" s="113">
        <f>IF(AND(E21="Open",G21="1st"),'Point Schedule'!$E$20,IF(AND(E21="Open",G21="2nd"),'Point Schedule'!$E$21,IF(AND(E21="Open",G21="3rd"),'Point Schedule'!$E$22,IF(AND(E21="Open",G21="4th"),'Point Schedule'!$E$23,0))))</f>
        <v>0</v>
      </c>
      <c r="R21" s="113">
        <f>IF(AND($E21="Grad Open",$G21="1st"),'Point Schedule'!$F$20,IF(AND($E21="Grad Open",$G21="2nd"),'Point Schedule'!$F$21,IF(AND($E21="Grad Open",$G21="3rd"),'Point Schedule'!$F$22,IF(AND($E21="Grad Open",$G21="4th"),'Point Schedule'!$F$23,0))))</f>
        <v>0</v>
      </c>
      <c r="S21" s="113">
        <f>IF(AND(E21="Utility",G21="1st"),'Point Schedule'!$G$20,IF(AND(E21="Utility",G21="2nd"),'Point Schedule'!$G$21,IF(AND(E21="Utility",G21="3rd"),'Point Schedule'!$G$22,IF(AND(E21="Utility",G21="4th"),'Point Schedule'!$G$23,0))))</f>
        <v>0</v>
      </c>
      <c r="T21" s="113">
        <f>IF(AND($E21="Ver",$G21="1st"),'Point Schedule'!$H$20,IF(AND($E21="Ver",$G21="2nd"),'Point Schedule'!$H$21,IF(AND($E21="Ver",$G21="3rd"),'Point Schedule'!$H$22,IF(AND($E21="Ver",$G21="4th"),'Point Schedule'!$H$23,0))))</f>
        <v>0</v>
      </c>
      <c r="U21" s="113">
        <f>IF(AND($E21="Pref Nov",$G21="1st"),'Point Schedule'!$C$64,IF(AND($E21="Pref Nov",$G21="2nd"),'Point Schedule'!$C$65,IF(AND($E21="Pref Nov",$G21="3rd"),'Point Schedule'!$C$66,IF(AND($E21="Pref Nov",$G21="4th"),'Point Schedule'!$C$67,0))))</f>
        <v>0</v>
      </c>
      <c r="V21" s="113">
        <f>IF(AND($E21="Pref Open",$G21="1st"),'Point Schedule'!$E$64,IF(AND($E21="Pref Open",$G21="2nd"),'Point Schedule'!$E$65,IF(AND($E21="Pref Open",$G21="3rd"),'Point Schedule'!$E$66,IF(AND($E21="Pref Open",$G21="4th"),'Point Schedule'!$E$67,0))))</f>
        <v>0</v>
      </c>
      <c r="W21" s="113">
        <f>IF(AND($E21="Pref Utility",$G21="1st"),'Point Schedule'!$G$64,IF(AND($E21="Pref Utility",$G21="2nd"),'Point Schedule'!$G$65,IF(AND($E21="Pref Utility",$G21="3rd"),'Point Schedule'!$G$66,IF(AND($E21="Pref Utility",$G21="4th"),'Point Schedule'!$G$67,0))))</f>
        <v>0</v>
      </c>
      <c r="X21" s="113">
        <f>IF(AND($E21="Pref Utility",$B21=$B22,NOT($E21=$E22),$J21="Yes"),'Point Schedule'!$C$72,0)</f>
        <v>0</v>
      </c>
      <c r="Y21" s="113">
        <f>IF(AND($E21="Beg. Nov.",$H21="Yes"),'Point Schedule'!$B$25,IF(AND($E21="Novice",$H21="Yes"),'Point Schedule'!$C$25,IF(AND($E21="Pref Nov",$H21="Yes"),'Point Schedule'!$C$69,IF(AND($E21="Grad Nov",$H21="Yes"),'Point Schedule'!$D$25,IF(AND($E21="Open",$H21="Yes"),'Point Schedule'!$E$25,IF(AND($E21="Pref Open",$H21="Yes"),'Point Schedule'!$E$69,IF(AND($E21="Grad Open",$H21="Yes"),'Point Schedule'!$F$25,IF(AND($E21="Ver",$H21="Yes"),'Point Schedule'!$H$25,IF(AND($E21="Utility",$H21="Yes"),'Point Schedule'!$G$25,IF(AND($E21="Pref Utility",$H21="Yes"),'Point Schedule'!$G$69,0))))))))))</f>
        <v>0</v>
      </c>
      <c r="Z21" s="113">
        <f>IF($I21&gt;=195,'Point Schedule'!$C$27,0)</f>
        <v>0</v>
      </c>
      <c r="AA21" s="96">
        <f>IF(AND($E21="Utility",$B21=$B22,NOT($E21=$E22),$J21="Yes"),'[1]Point Schedule'!$C$28,0)</f>
        <v>0</v>
      </c>
      <c r="AB21" s="113">
        <f>IF($K21="Yes",'Point Schedule'!$C$29,0)</f>
        <v>0</v>
      </c>
      <c r="AC21" s="113">
        <f>IF($L21="Yes",'Point Schedule'!$C$30,0)</f>
        <v>0</v>
      </c>
      <c r="AD21" s="114">
        <f>IF(M21="Yes",'Point Schedule'!$C$31,0)</f>
        <v>0</v>
      </c>
      <c r="AE21" s="122">
        <f t="shared" si="0"/>
        <v>0</v>
      </c>
      <c r="AF21" s="123">
        <f t="shared" si="1"/>
        <v>0</v>
      </c>
      <c r="AG21" s="761"/>
    </row>
    <row r="22" spans="1:33" ht="20.149999999999999" customHeight="1" x14ac:dyDescent="0.6">
      <c r="A22" s="387"/>
      <c r="B22" s="273"/>
      <c r="C22" s="772"/>
      <c r="D22" s="773"/>
      <c r="E22" s="272"/>
      <c r="F22" s="272"/>
      <c r="G22" s="272"/>
      <c r="H22" s="272"/>
      <c r="I22" s="272"/>
      <c r="J22" s="272"/>
      <c r="K22" s="272"/>
      <c r="L22" s="272"/>
      <c r="M22" s="272"/>
      <c r="N22" s="113">
        <f>IF(AND(E22="Beg. Nov.",G22="1st"),'Point Schedule'!$B$20,IF(AND(E22="Beg. Nov.",G22="2nd"),'Point Schedule'!$B$21,IF(AND(E22="Beg. Nov.",G22="3rd"),'Point Schedule'!$B$22,IF(AND(E22="Beg. Nov.",G22="4th"),'Point Schedule'!$B$23,0))))</f>
        <v>0</v>
      </c>
      <c r="O22" s="113">
        <f>IF(AND($E22="Novice",$G22="1st"),'Point Schedule'!$C$20,IF(AND($E22="Novice",$G22="2nd"),'Point Schedule'!$C$21,IF(AND($E22="Novice",$G22="3rd"),'Point Schedule'!$C$22,IF(AND($E22="Novice",$G22="4th"),'Point Schedule'!$C$23,0))))</f>
        <v>0</v>
      </c>
      <c r="P22" s="113">
        <f>IF(AND($E22="Grad Nov",$G22="1st"),'Point Schedule'!$D$20,IF(AND($E22="Grad Nov",$G22="2nd"),'Point Schedule'!$D$21,IF(AND($E22="Grad Nov",$G22="3rd"),'Point Schedule'!$D$22,IF(AND($E22="Grad Nov",$G22="4th"),'Point Schedule'!$D$23,0))))</f>
        <v>0</v>
      </c>
      <c r="Q22" s="113">
        <f>IF(AND(E22="Open",G22="1st"),'Point Schedule'!$E$20,IF(AND(E22="Open",G22="2nd"),'Point Schedule'!$E$21,IF(AND(E22="Open",G22="3rd"),'Point Schedule'!$E$22,IF(AND(E22="Open",G22="4th"),'Point Schedule'!$E$23,0))))</f>
        <v>0</v>
      </c>
      <c r="R22" s="113">
        <f>IF(AND($E22="Grad Open",$G22="1st"),'Point Schedule'!$F$20,IF(AND($E22="Grad Open",$G22="2nd"),'Point Schedule'!$F$21,IF(AND($E22="Grad Open",$G22="3rd"),'Point Schedule'!$F$22,IF(AND($E22="Grad Open",$G22="4th"),'Point Schedule'!$F$23,0))))</f>
        <v>0</v>
      </c>
      <c r="S22" s="113">
        <f>IF(AND(E22="Utility",G22="1st"),'Point Schedule'!$G$20,IF(AND(E22="Utility",G22="2nd"),'Point Schedule'!$G$21,IF(AND(E22="Utility",G22="3rd"),'Point Schedule'!$G$22,IF(AND(E22="Utility",G22="4th"),'Point Schedule'!$G$23,0))))</f>
        <v>0</v>
      </c>
      <c r="T22" s="113">
        <f>IF(AND($E22="Ver",$G22="1st"),'Point Schedule'!$H$20,IF(AND($E22="Ver",$G22="2nd"),'Point Schedule'!$H$21,IF(AND($E22="Ver",$G22="3rd"),'Point Schedule'!$H$22,IF(AND($E22="Ver",$G22="4th"),'Point Schedule'!$H$23,0))))</f>
        <v>0</v>
      </c>
      <c r="U22" s="113">
        <f>IF(AND($E22="Pref Nov",$G22="1st"),'Point Schedule'!$C$64,IF(AND($E22="Pref Nov",$G22="2nd"),'Point Schedule'!$C$65,IF(AND($E22="Pref Nov",$G22="3rd"),'Point Schedule'!$C$66,IF(AND($E22="Pref Nov",$G22="4th"),'Point Schedule'!$C$67,0))))</f>
        <v>0</v>
      </c>
      <c r="V22" s="113">
        <f>IF(AND($E22="Pref Open",$G22="1st"),'Point Schedule'!$E$64,IF(AND($E22="Pref Open",$G22="2nd"),'Point Schedule'!$E$65,IF(AND($E22="Pref Open",$G22="3rd"),'Point Schedule'!$E$66,IF(AND($E22="Pref Open",$G22="4th"),'Point Schedule'!$E$67,0))))</f>
        <v>0</v>
      </c>
      <c r="W22" s="113">
        <f>IF(AND($E22="Pref Utility",$G22="1st"),'Point Schedule'!$G$64,IF(AND($E22="Pref Utility",$G22="2nd"),'Point Schedule'!$G$65,IF(AND($E22="Pref Utility",$G22="3rd"),'Point Schedule'!$G$66,IF(AND($E22="Pref Utility",$G22="4th"),'Point Schedule'!$G$67,0))))</f>
        <v>0</v>
      </c>
      <c r="X22" s="113">
        <f>IF(AND($E22="Pref Utility",$B22=$B23,NOT($E22=$E23),$J22="Yes"),'Point Schedule'!$C$72,0)</f>
        <v>0</v>
      </c>
      <c r="Y22" s="113">
        <f>IF(AND($E22="Beg. Nov.",$H22="Yes"),'Point Schedule'!$B$25,IF(AND($E22="Novice",$H22="Yes"),'Point Schedule'!$C$25,IF(AND($E22="Pref Nov",$H22="Yes"),'Point Schedule'!$C$69,IF(AND($E22="Grad Nov",$H22="Yes"),'Point Schedule'!$D$25,IF(AND($E22="Open",$H22="Yes"),'Point Schedule'!$E$25,IF(AND($E22="Pref Open",$H22="Yes"),'Point Schedule'!$E$69,IF(AND($E22="Grad Open",$H22="Yes"),'Point Schedule'!$F$25,IF(AND($E22="Ver",$H22="Yes"),'Point Schedule'!$H$25,IF(AND($E22="Utility",$H22="Yes"),'Point Schedule'!$G$25,IF(AND($E22="Pref Utility",$H22="Yes"),'Point Schedule'!$G$69,0))))))))))</f>
        <v>0</v>
      </c>
      <c r="Z22" s="113">
        <f>IF($I22&gt;=195,'Point Schedule'!$C$27,0)</f>
        <v>0</v>
      </c>
      <c r="AA22" s="96">
        <f>IF(AND($E22="Utility",$B22=$B23,NOT($E22=$E23),$J22="Yes"),'[1]Point Schedule'!$C$28,0)</f>
        <v>0</v>
      </c>
      <c r="AB22" s="113">
        <f>IF($K22="Yes",'Point Schedule'!$C$29,0)</f>
        <v>0</v>
      </c>
      <c r="AC22" s="113">
        <f>IF($L22="Yes",'Point Schedule'!$C$30,0)</f>
        <v>0</v>
      </c>
      <c r="AD22" s="114">
        <f>IF(M22="Yes",'Point Schedule'!$C$31,0)</f>
        <v>0</v>
      </c>
      <c r="AE22" s="122">
        <f t="shared" si="0"/>
        <v>0</v>
      </c>
      <c r="AF22" s="123">
        <f t="shared" si="1"/>
        <v>0</v>
      </c>
      <c r="AG22" s="761"/>
    </row>
    <row r="23" spans="1:33" ht="20.149999999999999" customHeight="1" x14ac:dyDescent="0.6">
      <c r="A23" s="387"/>
      <c r="B23" s="273"/>
      <c r="C23" s="772"/>
      <c r="D23" s="773"/>
      <c r="E23" s="272"/>
      <c r="F23" s="272"/>
      <c r="G23" s="272"/>
      <c r="H23" s="272"/>
      <c r="I23" s="272"/>
      <c r="J23" s="272"/>
      <c r="K23" s="272"/>
      <c r="L23" s="272"/>
      <c r="M23" s="272"/>
      <c r="N23" s="113">
        <f>IF(AND(E23="Beg. Nov.",G23="1st"),'Point Schedule'!$B$20,IF(AND(E23="Beg. Nov.",G23="2nd"),'Point Schedule'!$B$21,IF(AND(E23="Beg. Nov.",G23="3rd"),'Point Schedule'!$B$22,IF(AND(E23="Beg. Nov.",G23="4th"),'Point Schedule'!$B$23,0))))</f>
        <v>0</v>
      </c>
      <c r="O23" s="113">
        <f>IF(AND($E23="Novice",$G23="1st"),'Point Schedule'!$C$20,IF(AND($E23="Novice",$G23="2nd"),'Point Schedule'!$C$21,IF(AND($E23="Novice",$G23="3rd"),'Point Schedule'!$C$22,IF(AND($E23="Novice",$G23="4th"),'Point Schedule'!$C$23,0))))</f>
        <v>0</v>
      </c>
      <c r="P23" s="113">
        <f>IF(AND($E23="Grad Nov",$G23="1st"),'Point Schedule'!$D$20,IF(AND($E23="Grad Nov",$G23="2nd"),'Point Schedule'!$D$21,IF(AND($E23="Grad Nov",$G23="3rd"),'Point Schedule'!$D$22,IF(AND($E23="Grad Nov",$G23="4th"),'Point Schedule'!$D$23,0))))</f>
        <v>0</v>
      </c>
      <c r="Q23" s="113">
        <f>IF(AND(E23="Open",G23="1st"),'Point Schedule'!$E$20,IF(AND(E23="Open",G23="2nd"),'Point Schedule'!$E$21,IF(AND(E23="Open",G23="3rd"),'Point Schedule'!$E$22,IF(AND(E23="Open",G23="4th"),'Point Schedule'!$E$23,0))))</f>
        <v>0</v>
      </c>
      <c r="R23" s="113">
        <f>IF(AND($E23="Grad Open",$G23="1st"),'Point Schedule'!$F$20,IF(AND($E23="Grad Open",$G23="2nd"),'Point Schedule'!$F$21,IF(AND($E23="Grad Open",$G23="3rd"),'Point Schedule'!$F$22,IF(AND($E23="Grad Open",$G23="4th"),'Point Schedule'!$F$23,0))))</f>
        <v>0</v>
      </c>
      <c r="S23" s="113">
        <f>IF(AND(E23="Utility",G23="1st"),'Point Schedule'!$G$20,IF(AND(E23="Utility",G23="2nd"),'Point Schedule'!$G$21,IF(AND(E23="Utility",G23="3rd"),'Point Schedule'!$G$22,IF(AND(E23="Utility",G23="4th"),'Point Schedule'!$G$23,0))))</f>
        <v>0</v>
      </c>
      <c r="T23" s="113">
        <f>IF(AND($E23="Ver",$G23="1st"),'Point Schedule'!$H$20,IF(AND($E23="Ver",$G23="2nd"),'Point Schedule'!$H$21,IF(AND($E23="Ver",$G23="3rd"),'Point Schedule'!$H$22,IF(AND($E23="Ver",$G23="4th"),'Point Schedule'!$H$23,0))))</f>
        <v>0</v>
      </c>
      <c r="U23" s="113">
        <f>IF(AND($E23="Pref Nov",$G23="1st"),'Point Schedule'!$C$64,IF(AND($E23="Pref Nov",$G23="2nd"),'Point Schedule'!$C$65,IF(AND($E23="Pref Nov",$G23="3rd"),'Point Schedule'!$C$66,IF(AND($E23="Pref Nov",$G23="4th"),'Point Schedule'!$C$67,0))))</f>
        <v>0</v>
      </c>
      <c r="V23" s="113">
        <f>IF(AND($E23="Pref Open",$G23="1st"),'Point Schedule'!$E$64,IF(AND($E23="Pref Open",$G23="2nd"),'Point Schedule'!$E$65,IF(AND($E23="Pref Open",$G23="3rd"),'Point Schedule'!$E$66,IF(AND($E23="Pref Open",$G23="4th"),'Point Schedule'!$E$67,0))))</f>
        <v>0</v>
      </c>
      <c r="W23" s="113">
        <f>IF(AND($E23="Pref Utility",$G23="1st"),'Point Schedule'!$G$64,IF(AND($E23="Pref Utility",$G23="2nd"),'Point Schedule'!$G$65,IF(AND($E23="Pref Utility",$G23="3rd"),'Point Schedule'!$G$66,IF(AND($E23="Pref Utility",$G23="4th"),'Point Schedule'!$G$67,0))))</f>
        <v>0</v>
      </c>
      <c r="X23" s="113">
        <f>IF(AND($E23="Pref Utility",$B23=$B24,NOT($E23=$E24),$J23="Yes"),'Point Schedule'!$C$72,0)</f>
        <v>0</v>
      </c>
      <c r="Y23" s="113">
        <f>IF(AND($E23="Beg. Nov.",$H23="Yes"),'Point Schedule'!$B$25,IF(AND($E23="Novice",$H23="Yes"),'Point Schedule'!$C$25,IF(AND($E23="Pref Nov",$H23="Yes"),'Point Schedule'!$C$69,IF(AND($E23="Grad Nov",$H23="Yes"),'Point Schedule'!$D$25,IF(AND($E23="Open",$H23="Yes"),'Point Schedule'!$E$25,IF(AND($E23="Pref Open",$H23="Yes"),'Point Schedule'!$E$69,IF(AND($E23="Grad Open",$H23="Yes"),'Point Schedule'!$F$25,IF(AND($E23="Ver",$H23="Yes"),'Point Schedule'!$H$25,IF(AND($E23="Utility",$H23="Yes"),'Point Schedule'!$G$25,IF(AND($E23="Pref Utility",$H23="Yes"),'Point Schedule'!$G$69,0))))))))))</f>
        <v>0</v>
      </c>
      <c r="Z23" s="113">
        <f>IF($I23&gt;=195,'Point Schedule'!$C$27,0)</f>
        <v>0</v>
      </c>
      <c r="AA23" s="96">
        <f>IF(AND($E23="Utility",$B23=$B24,NOT($E23=$E24),$J23="Yes"),'[1]Point Schedule'!$C$28,0)</f>
        <v>0</v>
      </c>
      <c r="AB23" s="113">
        <f>IF($K23="Yes",'Point Schedule'!$C$29,0)</f>
        <v>0</v>
      </c>
      <c r="AC23" s="113">
        <f>IF($L23="Yes",'Point Schedule'!$C$30,0)</f>
        <v>0</v>
      </c>
      <c r="AD23" s="114">
        <f>IF(M23="Yes",'Point Schedule'!$C$31,0)</f>
        <v>0</v>
      </c>
      <c r="AE23" s="122">
        <f t="shared" si="0"/>
        <v>0</v>
      </c>
      <c r="AF23" s="123">
        <f t="shared" si="1"/>
        <v>0</v>
      </c>
      <c r="AG23" s="761"/>
    </row>
    <row r="24" spans="1:33" ht="20.149999999999999" customHeight="1" x14ac:dyDescent="0.6">
      <c r="A24" s="387"/>
      <c r="B24" s="273"/>
      <c r="C24" s="772"/>
      <c r="D24" s="773"/>
      <c r="E24" s="272"/>
      <c r="F24" s="272"/>
      <c r="G24" s="272"/>
      <c r="H24" s="272"/>
      <c r="I24" s="272"/>
      <c r="J24" s="272"/>
      <c r="K24" s="272"/>
      <c r="L24" s="272"/>
      <c r="M24" s="272"/>
      <c r="N24" s="113">
        <f>IF(AND(E24="Beg. Nov.",G24="1st"),'Point Schedule'!$B$20,IF(AND(E24="Beg. Nov.",G24="2nd"),'Point Schedule'!$B$21,IF(AND(E24="Beg. Nov.",G24="3rd"),'Point Schedule'!$B$22,IF(AND(E24="Beg. Nov.",G24="4th"),'Point Schedule'!$B$23,0))))</f>
        <v>0</v>
      </c>
      <c r="O24" s="113">
        <f>IF(AND($E24="Novice",$G24="1st"),'Point Schedule'!$C$20,IF(AND($E24="Novice",$G24="2nd"),'Point Schedule'!$C$21,IF(AND($E24="Novice",$G24="3rd"),'Point Schedule'!$C$22,IF(AND($E24="Novice",$G24="4th"),'Point Schedule'!$C$23,0))))</f>
        <v>0</v>
      </c>
      <c r="P24" s="113">
        <f>IF(AND($E24="Grad Nov",$G24="1st"),'Point Schedule'!$D$20,IF(AND($E24="Grad Nov",$G24="2nd"),'Point Schedule'!$D$21,IF(AND($E24="Grad Nov",$G24="3rd"),'Point Schedule'!$D$22,IF(AND($E24="Grad Nov",$G24="4th"),'Point Schedule'!$D$23,0))))</f>
        <v>0</v>
      </c>
      <c r="Q24" s="113">
        <f>IF(AND(E24="Open",G24="1st"),'Point Schedule'!$E$20,IF(AND(E24="Open",G24="2nd"),'Point Schedule'!$E$21,IF(AND(E24="Open",G24="3rd"),'Point Schedule'!$E$22,IF(AND(E24="Open",G24="4th"),'Point Schedule'!$E$23,0))))</f>
        <v>0</v>
      </c>
      <c r="R24" s="113">
        <f>IF(AND($E24="Grad Open",$G24="1st"),'Point Schedule'!$F$20,IF(AND($E24="Grad Open",$G24="2nd"),'Point Schedule'!$F$21,IF(AND($E24="Grad Open",$G24="3rd"),'Point Schedule'!$F$22,IF(AND($E24="Grad Open",$G24="4th"),'Point Schedule'!$F$23,0))))</f>
        <v>0</v>
      </c>
      <c r="S24" s="113">
        <f>IF(AND(E24="Utility",G24="1st"),'Point Schedule'!$G$20,IF(AND(E24="Utility",G24="2nd"),'Point Schedule'!$G$21,IF(AND(E24="Utility",G24="3rd"),'Point Schedule'!$G$22,IF(AND(E24="Utility",G24="4th"),'Point Schedule'!$G$23,0))))</f>
        <v>0</v>
      </c>
      <c r="T24" s="113">
        <f>IF(AND($E24="Ver",$G24="1st"),'Point Schedule'!$H$20,IF(AND($E24="Ver",$G24="2nd"),'Point Schedule'!$H$21,IF(AND($E24="Ver",$G24="3rd"),'Point Schedule'!$H$22,IF(AND($E24="Ver",$G24="4th"),'Point Schedule'!$H$23,0))))</f>
        <v>0</v>
      </c>
      <c r="U24" s="113">
        <f>IF(AND($E24="Pref Nov",$G24="1st"),'Point Schedule'!$C$64,IF(AND($E24="Pref Nov",$G24="2nd"),'Point Schedule'!$C$65,IF(AND($E24="Pref Nov",$G24="3rd"),'Point Schedule'!$C$66,IF(AND($E24="Pref Nov",$G24="4th"),'Point Schedule'!$C$67,0))))</f>
        <v>0</v>
      </c>
      <c r="V24" s="113">
        <f>IF(AND($E24="Pref Open",$G24="1st"),'Point Schedule'!$E$64,IF(AND($E24="Pref Open",$G24="2nd"),'Point Schedule'!$E$65,IF(AND($E24="Pref Open",$G24="3rd"),'Point Schedule'!$E$66,IF(AND($E24="Pref Open",$G24="4th"),'Point Schedule'!$E$67,0))))</f>
        <v>0</v>
      </c>
      <c r="W24" s="113">
        <f>IF(AND($E24="Pref Utility",$G24="1st"),'Point Schedule'!$G$64,IF(AND($E24="Pref Utility",$G24="2nd"),'Point Schedule'!$G$65,IF(AND($E24="Pref Utility",$G24="3rd"),'Point Schedule'!$G$66,IF(AND($E24="Pref Utility",$G24="4th"),'Point Schedule'!$G$67,0))))</f>
        <v>0</v>
      </c>
      <c r="X24" s="113">
        <f>IF(AND($E24="Pref Utility",$B24=$B25,NOT($E24=$E25),$J24="Yes"),'Point Schedule'!$C$72,0)</f>
        <v>0</v>
      </c>
      <c r="Y24" s="113">
        <f>IF(AND($E24="Beg. Nov.",$H24="Yes"),'Point Schedule'!$B$25,IF(AND($E24="Novice",$H24="Yes"),'Point Schedule'!$C$25,IF(AND($E24="Pref Nov",$H24="Yes"),'Point Schedule'!$C$69,IF(AND($E24="Grad Nov",$H24="Yes"),'Point Schedule'!$D$25,IF(AND($E24="Open",$H24="Yes"),'Point Schedule'!$E$25,IF(AND($E24="Pref Open",$H24="Yes"),'Point Schedule'!$E$69,IF(AND($E24="Grad Open",$H24="Yes"),'Point Schedule'!$F$25,IF(AND($E24="Ver",$H24="Yes"),'Point Schedule'!$H$25,IF(AND($E24="Utility",$H24="Yes"),'Point Schedule'!$G$25,IF(AND($E24="Pref Utility",$H24="Yes"),'Point Schedule'!$G$69,0))))))))))</f>
        <v>0</v>
      </c>
      <c r="Z24" s="113">
        <f>IF($I24&gt;=195,'Point Schedule'!$C$27,0)</f>
        <v>0</v>
      </c>
      <c r="AA24" s="96">
        <f>IF(AND($E24="Utility",$B24=$B25,NOT($E24=$E25),$J24="Yes"),'[1]Point Schedule'!$C$28,0)</f>
        <v>0</v>
      </c>
      <c r="AB24" s="113">
        <f>IF($K24="Yes",'Point Schedule'!$C$29,0)</f>
        <v>0</v>
      </c>
      <c r="AC24" s="113">
        <f>IF($L24="Yes",'Point Schedule'!$C$30,0)</f>
        <v>0</v>
      </c>
      <c r="AD24" s="114">
        <f>IF(M24="Yes",'Point Schedule'!$C$31,0)</f>
        <v>0</v>
      </c>
      <c r="AE24" s="122">
        <f t="shared" si="0"/>
        <v>0</v>
      </c>
      <c r="AF24" s="123">
        <f t="shared" si="1"/>
        <v>0</v>
      </c>
      <c r="AG24" s="761"/>
    </row>
    <row r="25" spans="1:33" ht="20.149999999999999" customHeight="1" x14ac:dyDescent="0.6">
      <c r="A25" s="387"/>
      <c r="B25" s="273"/>
      <c r="C25" s="772"/>
      <c r="D25" s="773"/>
      <c r="E25" s="272"/>
      <c r="F25" s="272"/>
      <c r="G25" s="272"/>
      <c r="H25" s="272"/>
      <c r="I25" s="272"/>
      <c r="J25" s="272"/>
      <c r="K25" s="272"/>
      <c r="L25" s="272"/>
      <c r="M25" s="272"/>
      <c r="N25" s="113">
        <f>IF(AND(E25="Beg. Nov.",G25="1st"),'Point Schedule'!$B$20,IF(AND(E25="Beg. Nov.",G25="2nd"),'Point Schedule'!$B$21,IF(AND(E25="Beg. Nov.",G25="3rd"),'Point Schedule'!$B$22,IF(AND(E25="Beg. Nov.",G25="4th"),'Point Schedule'!$B$23,0))))</f>
        <v>0</v>
      </c>
      <c r="O25" s="113">
        <f>IF(AND($E25="Novice",$G25="1st"),'Point Schedule'!$C$20,IF(AND($E25="Novice",$G25="2nd"),'Point Schedule'!$C$21,IF(AND($E25="Novice",$G25="3rd"),'Point Schedule'!$C$22,IF(AND($E25="Novice",$G25="4th"),'Point Schedule'!$C$23,0))))</f>
        <v>0</v>
      </c>
      <c r="P25" s="113">
        <f>IF(AND($E25="Grad Nov",$G25="1st"),'Point Schedule'!$D$20,IF(AND($E25="Grad Nov",$G25="2nd"),'Point Schedule'!$D$21,IF(AND($E25="Grad Nov",$G25="3rd"),'Point Schedule'!$D$22,IF(AND($E25="Grad Nov",$G25="4th"),'Point Schedule'!$D$23,0))))</f>
        <v>0</v>
      </c>
      <c r="Q25" s="113">
        <f>IF(AND(E25="Open",G25="1st"),'Point Schedule'!$E$20,IF(AND(E25="Open",G25="2nd"),'Point Schedule'!$E$21,IF(AND(E25="Open",G25="3rd"),'Point Schedule'!$E$22,IF(AND(E25="Open",G25="4th"),'Point Schedule'!$E$23,0))))</f>
        <v>0</v>
      </c>
      <c r="R25" s="113">
        <f>IF(AND($E25="Grad Open",$G25="1st"),'Point Schedule'!$F$20,IF(AND($E25="Grad Open",$G25="2nd"),'Point Schedule'!$F$21,IF(AND($E25="Grad Open",$G25="3rd"),'Point Schedule'!$F$22,IF(AND($E25="Grad Open",$G25="4th"),'Point Schedule'!$F$23,0))))</f>
        <v>0</v>
      </c>
      <c r="S25" s="113">
        <f>IF(AND(E25="Utility",G25="1st"),'Point Schedule'!$G$20,IF(AND(E25="Utility",G25="2nd"),'Point Schedule'!$G$21,IF(AND(E25="Utility",G25="3rd"),'Point Schedule'!$G$22,IF(AND(E25="Utility",G25="4th"),'Point Schedule'!$G$23,0))))</f>
        <v>0</v>
      </c>
      <c r="T25" s="113">
        <f>IF(AND($E25="Ver",$G25="1st"),'Point Schedule'!$H$20,IF(AND($E25="Ver",$G25="2nd"),'Point Schedule'!$H$21,IF(AND($E25="Ver",$G25="3rd"),'Point Schedule'!$H$22,IF(AND($E25="Ver",$G25="4th"),'Point Schedule'!$H$23,0))))</f>
        <v>0</v>
      </c>
      <c r="U25" s="113">
        <f>IF(AND($E25="Pref Nov",$G25="1st"),'Point Schedule'!$C$64,IF(AND($E25="Pref Nov",$G25="2nd"),'Point Schedule'!$C$65,IF(AND($E25="Pref Nov",$G25="3rd"),'Point Schedule'!$C$66,IF(AND($E25="Pref Nov",$G25="4th"),'Point Schedule'!$C$67,0))))</f>
        <v>0</v>
      </c>
      <c r="V25" s="113">
        <f>IF(AND($E25="Pref Open",$G25="1st"),'Point Schedule'!$E$64,IF(AND($E25="Pref Open",$G25="2nd"),'Point Schedule'!$E$65,IF(AND($E25="Pref Open",$G25="3rd"),'Point Schedule'!$E$66,IF(AND($E25="Pref Open",$G25="4th"),'Point Schedule'!$E$67,0))))</f>
        <v>0</v>
      </c>
      <c r="W25" s="113">
        <f>IF(AND($E25="Pref Utility",$G25="1st"),'Point Schedule'!$G$64,IF(AND($E25="Pref Utility",$G25="2nd"),'Point Schedule'!$G$65,IF(AND($E25="Pref Utility",$G25="3rd"),'Point Schedule'!$G$66,IF(AND($E25="Pref Utility",$G25="4th"),'Point Schedule'!$G$67,0))))</f>
        <v>0</v>
      </c>
      <c r="X25" s="113">
        <f>IF(AND($E25="Pref Utility",$B25=$B26,NOT($E25=$E26),$J25="Yes"),'Point Schedule'!$C$72,0)</f>
        <v>0</v>
      </c>
      <c r="Y25" s="113">
        <f>IF(AND($E25="Beg. Nov.",$H25="Yes"),'Point Schedule'!$B$25,IF(AND($E25="Novice",$H25="Yes"),'Point Schedule'!$C$25,IF(AND($E25="Pref Nov",$H25="Yes"),'Point Schedule'!$C$69,IF(AND($E25="Grad Nov",$H25="Yes"),'Point Schedule'!$D$25,IF(AND($E25="Open",$H25="Yes"),'Point Schedule'!$E$25,IF(AND($E25="Pref Open",$H25="Yes"),'Point Schedule'!$E$69,IF(AND($E25="Grad Open",$H25="Yes"),'Point Schedule'!$F$25,IF(AND($E25="Ver",$H25="Yes"),'Point Schedule'!$H$25,IF(AND($E25="Utility",$H25="Yes"),'Point Schedule'!$G$25,IF(AND($E25="Pref Utility",$H25="Yes"),'Point Schedule'!$G$69,0))))))))))</f>
        <v>0</v>
      </c>
      <c r="Z25" s="113">
        <f>IF($I25&gt;=195,'Point Schedule'!$C$27,0)</f>
        <v>0</v>
      </c>
      <c r="AA25" s="96">
        <f>IF(AND($E25="Utility",$B25=$B26,NOT($E25=$E26),$J25="Yes"),'[1]Point Schedule'!$C$28,0)</f>
        <v>0</v>
      </c>
      <c r="AB25" s="113">
        <f>IF($K25="Yes",'Point Schedule'!$C$29,0)</f>
        <v>0</v>
      </c>
      <c r="AC25" s="113">
        <f>IF($L25="Yes",'Point Schedule'!$C$30,0)</f>
        <v>0</v>
      </c>
      <c r="AD25" s="114">
        <f>IF(M25="Yes",'Point Schedule'!$C$31,0)</f>
        <v>0</v>
      </c>
      <c r="AE25" s="122">
        <f t="shared" si="0"/>
        <v>0</v>
      </c>
      <c r="AF25" s="123">
        <f t="shared" si="1"/>
        <v>0</v>
      </c>
      <c r="AG25" s="761"/>
    </row>
    <row r="26" spans="1:33" ht="20.149999999999999" customHeight="1" x14ac:dyDescent="0.6">
      <c r="A26" s="387"/>
      <c r="B26" s="273"/>
      <c r="C26" s="772"/>
      <c r="D26" s="773"/>
      <c r="E26" s="272"/>
      <c r="F26" s="272"/>
      <c r="G26" s="272"/>
      <c r="H26" s="272"/>
      <c r="I26" s="272"/>
      <c r="J26" s="272"/>
      <c r="K26" s="272"/>
      <c r="L26" s="272"/>
      <c r="M26" s="272"/>
      <c r="N26" s="113">
        <f>IF(AND(E26="Beg. Nov.",G26="1st"),'Point Schedule'!$B$20,IF(AND(E26="Beg. Nov.",G26="2nd"),'Point Schedule'!$B$21,IF(AND(E26="Beg. Nov.",G26="3rd"),'Point Schedule'!$B$22,IF(AND(E26="Beg. Nov.",G26="4th"),'Point Schedule'!$B$23,0))))</f>
        <v>0</v>
      </c>
      <c r="O26" s="113">
        <f>IF(AND($E26="Novice",$G26="1st"),'Point Schedule'!$C$20,IF(AND($E26="Novice",$G26="2nd"),'Point Schedule'!$C$21,IF(AND($E26="Novice",$G26="3rd"),'Point Schedule'!$C$22,IF(AND($E26="Novice",$G26="4th"),'Point Schedule'!$C$23,0))))</f>
        <v>0</v>
      </c>
      <c r="P26" s="113">
        <f>IF(AND($E26="Grad Nov",$G26="1st"),'Point Schedule'!$D$20,IF(AND($E26="Grad Nov",$G26="2nd"),'Point Schedule'!$D$21,IF(AND($E26="Grad Nov",$G26="3rd"),'Point Schedule'!$D$22,IF(AND($E26="Grad Nov",$G26="4th"),'Point Schedule'!$D$23,0))))</f>
        <v>0</v>
      </c>
      <c r="Q26" s="113">
        <f>IF(AND(E26="Open",G26="1st"),'Point Schedule'!$E$20,IF(AND(E26="Open",G26="2nd"),'Point Schedule'!$E$21,IF(AND(E26="Open",G26="3rd"),'Point Schedule'!$E$22,IF(AND(E26="Open",G26="4th"),'Point Schedule'!$E$23,0))))</f>
        <v>0</v>
      </c>
      <c r="R26" s="113">
        <f>IF(AND($E26="Grad Open",$G26="1st"),'Point Schedule'!$F$20,IF(AND($E26="Grad Open",$G26="2nd"),'Point Schedule'!$F$21,IF(AND($E26="Grad Open",$G26="3rd"),'Point Schedule'!$F$22,IF(AND($E26="Grad Open",$G26="4th"),'Point Schedule'!$F$23,0))))</f>
        <v>0</v>
      </c>
      <c r="S26" s="113">
        <f>IF(AND(E26="Utility",G26="1st"),'Point Schedule'!$G$20,IF(AND(E26="Utility",G26="2nd"),'Point Schedule'!$G$21,IF(AND(E26="Utility",G26="3rd"),'Point Schedule'!$G$22,IF(AND(E26="Utility",G26="4th"),'Point Schedule'!$G$23,0))))</f>
        <v>0</v>
      </c>
      <c r="T26" s="113">
        <f>IF(AND($E26="Ver",$G26="1st"),'Point Schedule'!$H$20,IF(AND($E26="Ver",$G26="2nd"),'Point Schedule'!$H$21,IF(AND($E26="Ver",$G26="3rd"),'Point Schedule'!$H$22,IF(AND($E26="Ver",$G26="4th"),'Point Schedule'!$H$23,0))))</f>
        <v>0</v>
      </c>
      <c r="U26" s="113">
        <f>IF(AND($E26="Pref Nov",$G26="1st"),'Point Schedule'!$C$64,IF(AND($E26="Pref Nov",$G26="2nd"),'Point Schedule'!$C$65,IF(AND($E26="Pref Nov",$G26="3rd"),'Point Schedule'!$C$66,IF(AND($E26="Pref Nov",$G26="4th"),'Point Schedule'!$C$67,0))))</f>
        <v>0</v>
      </c>
      <c r="V26" s="113">
        <f>IF(AND($E26="Pref Open",$G26="1st"),'Point Schedule'!$E$64,IF(AND($E26="Pref Open",$G26="2nd"),'Point Schedule'!$E$65,IF(AND($E26="Pref Open",$G26="3rd"),'Point Schedule'!$E$66,IF(AND($E26="Pref Open",$G26="4th"),'Point Schedule'!$E$67,0))))</f>
        <v>0</v>
      </c>
      <c r="W26" s="113">
        <f>IF(AND($E26="Pref Utility",$G26="1st"),'Point Schedule'!$G$64,IF(AND($E26="Pref Utility",$G26="2nd"),'Point Schedule'!$G$65,IF(AND($E26="Pref Utility",$G26="3rd"),'Point Schedule'!$G$66,IF(AND($E26="Pref Utility",$G26="4th"),'Point Schedule'!$G$67,0))))</f>
        <v>0</v>
      </c>
      <c r="X26" s="113">
        <f>IF(AND($E26="Pref Utility",$B26=$B27,NOT($E26=$E27),$J26="Yes"),'Point Schedule'!$C$72,0)</f>
        <v>0</v>
      </c>
      <c r="Y26" s="113">
        <f>IF(AND($E26="Beg. Nov.",$H26="Yes"),'Point Schedule'!$B$25,IF(AND($E26="Novice",$H26="Yes"),'Point Schedule'!$C$25,IF(AND($E26="Pref Nov",$H26="Yes"),'Point Schedule'!$C$69,IF(AND($E26="Grad Nov",$H26="Yes"),'Point Schedule'!$D$25,IF(AND($E26="Open",$H26="Yes"),'Point Schedule'!$E$25,IF(AND($E26="Pref Open",$H26="Yes"),'Point Schedule'!$E$69,IF(AND($E26="Grad Open",$H26="Yes"),'Point Schedule'!$F$25,IF(AND($E26="Ver",$H26="Yes"),'Point Schedule'!$H$25,IF(AND($E26="Utility",$H26="Yes"),'Point Schedule'!$G$25,IF(AND($E26="Pref Utility",$H26="Yes"),'Point Schedule'!$G$69,0))))))))))</f>
        <v>0</v>
      </c>
      <c r="Z26" s="113">
        <f>IF($I26&gt;=195,'Point Schedule'!$C$27,0)</f>
        <v>0</v>
      </c>
      <c r="AA26" s="96">
        <f>IF(AND($E26="Utility",$B26=$B27,NOT($E26=$E27),$J26="Yes"),'[1]Point Schedule'!$C$28,0)</f>
        <v>0</v>
      </c>
      <c r="AB26" s="113">
        <f>IF($K26="Yes",'Point Schedule'!$C$29,0)</f>
        <v>0</v>
      </c>
      <c r="AC26" s="113">
        <f>IF($L26="Yes",'Point Schedule'!$C$30,0)</f>
        <v>0</v>
      </c>
      <c r="AD26" s="114">
        <f>IF(M26="Yes",'Point Schedule'!$C$31,0)</f>
        <v>0</v>
      </c>
      <c r="AE26" s="122">
        <f t="shared" si="0"/>
        <v>0</v>
      </c>
      <c r="AF26" s="123">
        <f t="shared" si="1"/>
        <v>0</v>
      </c>
      <c r="AG26" s="761"/>
    </row>
    <row r="27" spans="1:33" ht="20.149999999999999" customHeight="1" x14ac:dyDescent="0.6">
      <c r="A27" s="387"/>
      <c r="B27" s="273"/>
      <c r="C27" s="772"/>
      <c r="D27" s="773"/>
      <c r="E27" s="272"/>
      <c r="F27" s="272"/>
      <c r="G27" s="272"/>
      <c r="H27" s="272"/>
      <c r="I27" s="272"/>
      <c r="J27" s="272"/>
      <c r="K27" s="272"/>
      <c r="L27" s="272"/>
      <c r="M27" s="272"/>
      <c r="N27" s="113">
        <f>IF(AND(E27="Beg. Nov.",G27="1st"),'Point Schedule'!$B$20,IF(AND(E27="Beg. Nov.",G27="2nd"),'Point Schedule'!$B$21,IF(AND(E27="Beg. Nov.",G27="3rd"),'Point Schedule'!$B$22,IF(AND(E27="Beg. Nov.",G27="4th"),'Point Schedule'!$B$23,0))))</f>
        <v>0</v>
      </c>
      <c r="O27" s="113">
        <f>IF(AND($E27="Novice",$G27="1st"),'Point Schedule'!$C$20,IF(AND($E27="Novice",$G27="2nd"),'Point Schedule'!$C$21,IF(AND($E27="Novice",$G27="3rd"),'Point Schedule'!$C$22,IF(AND($E27="Novice",$G27="4th"),'Point Schedule'!$C$23,0))))</f>
        <v>0</v>
      </c>
      <c r="P27" s="113">
        <f>IF(AND($E27="Grad Nov",$G27="1st"),'Point Schedule'!$D$20,IF(AND($E27="Grad Nov",$G27="2nd"),'Point Schedule'!$D$21,IF(AND($E27="Grad Nov",$G27="3rd"),'Point Schedule'!$D$22,IF(AND($E27="Grad Nov",$G27="4th"),'Point Schedule'!$D$23,0))))</f>
        <v>0</v>
      </c>
      <c r="Q27" s="113">
        <f>IF(AND(E27="Open",G27="1st"),'Point Schedule'!$E$20,IF(AND(E27="Open",G27="2nd"),'Point Schedule'!$E$21,IF(AND(E27="Open",G27="3rd"),'Point Schedule'!$E$22,IF(AND(E27="Open",G27="4th"),'Point Schedule'!$E$23,0))))</f>
        <v>0</v>
      </c>
      <c r="R27" s="113">
        <f>IF(AND($E27="Grad Open",$G27="1st"),'Point Schedule'!$F$20,IF(AND($E27="Grad Open",$G27="2nd"),'Point Schedule'!$F$21,IF(AND($E27="Grad Open",$G27="3rd"),'Point Schedule'!$F$22,IF(AND($E27="Grad Open",$G27="4th"),'Point Schedule'!$F$23,0))))</f>
        <v>0</v>
      </c>
      <c r="S27" s="113">
        <f>IF(AND(E27="Utility",G27="1st"),'Point Schedule'!$G$20,IF(AND(E27="Utility",G27="2nd"),'Point Schedule'!$G$21,IF(AND(E27="Utility",G27="3rd"),'Point Schedule'!$G$22,IF(AND(E27="Utility",G27="4th"),'Point Schedule'!$G$23,0))))</f>
        <v>0</v>
      </c>
      <c r="T27" s="113">
        <f>IF(AND($E27="Ver",$G27="1st"),'Point Schedule'!$H$20,IF(AND($E27="Ver",$G27="2nd"),'Point Schedule'!$H$21,IF(AND($E27="Ver",$G27="3rd"),'Point Schedule'!$H$22,IF(AND($E27="Ver",$G27="4th"),'Point Schedule'!$H$23,0))))</f>
        <v>0</v>
      </c>
      <c r="U27" s="113">
        <f>IF(AND($E27="Pref Nov",$G27="1st"),'Point Schedule'!$C$64,IF(AND($E27="Pref Nov",$G27="2nd"),'Point Schedule'!$C$65,IF(AND($E27="Pref Nov",$G27="3rd"),'Point Schedule'!$C$66,IF(AND($E27="Pref Nov",$G27="4th"),'Point Schedule'!$C$67,0))))</f>
        <v>0</v>
      </c>
      <c r="V27" s="113">
        <f>IF(AND($E27="Pref Open",$G27="1st"),'Point Schedule'!$E$64,IF(AND($E27="Pref Open",$G27="2nd"),'Point Schedule'!$E$65,IF(AND($E27="Pref Open",$G27="3rd"),'Point Schedule'!$E$66,IF(AND($E27="Pref Open",$G27="4th"),'Point Schedule'!$E$67,0))))</f>
        <v>0</v>
      </c>
      <c r="W27" s="113">
        <f>IF(AND($E27="Pref Utility",$G27="1st"),'Point Schedule'!$G$64,IF(AND($E27="Pref Utility",$G27="2nd"),'Point Schedule'!$G$65,IF(AND($E27="Pref Utility",$G27="3rd"),'Point Schedule'!$G$66,IF(AND($E27="Pref Utility",$G27="4th"),'Point Schedule'!$G$67,0))))</f>
        <v>0</v>
      </c>
      <c r="X27" s="113">
        <f>IF(AND($E27="Pref Utility",$B27=$B28,NOT($E27=$E28),$J27="Yes"),'Point Schedule'!$C$72,0)</f>
        <v>0</v>
      </c>
      <c r="Y27" s="113">
        <f>IF(AND($E27="Beg. Nov.",$H27="Yes"),'Point Schedule'!$B$25,IF(AND($E27="Novice",$H27="Yes"),'Point Schedule'!$C$25,IF(AND($E27="Pref Nov",$H27="Yes"),'Point Schedule'!$C$69,IF(AND($E27="Grad Nov",$H27="Yes"),'Point Schedule'!$D$25,IF(AND($E27="Open",$H27="Yes"),'Point Schedule'!$E$25,IF(AND($E27="Pref Open",$H27="Yes"),'Point Schedule'!$E$69,IF(AND($E27="Grad Open",$H27="Yes"),'Point Schedule'!$F$25,IF(AND($E27="Ver",$H27="Yes"),'Point Schedule'!$H$25,IF(AND($E27="Utility",$H27="Yes"),'Point Schedule'!$G$25,IF(AND($E27="Pref Utility",$H27="Yes"),'Point Schedule'!$G$69,0))))))))))</f>
        <v>0</v>
      </c>
      <c r="Z27" s="113">
        <f>IF($I27&gt;=195,'Point Schedule'!$C$27,0)</f>
        <v>0</v>
      </c>
      <c r="AA27" s="96">
        <f>IF(AND($E27="Utility",$B27=$B28,NOT($E27=$E28),$J27="Yes"),'[1]Point Schedule'!$C$28,0)</f>
        <v>0</v>
      </c>
      <c r="AB27" s="113">
        <f>IF($K27="Yes",'Point Schedule'!$C$29,0)</f>
        <v>0</v>
      </c>
      <c r="AC27" s="113">
        <f>IF($L27="Yes",'Point Schedule'!$C$30,0)</f>
        <v>0</v>
      </c>
      <c r="AD27" s="114">
        <f>IF(M27="Yes",'Point Schedule'!$C$31,0)</f>
        <v>0</v>
      </c>
      <c r="AE27" s="122">
        <f t="shared" si="0"/>
        <v>0</v>
      </c>
      <c r="AF27" s="123">
        <f t="shared" si="1"/>
        <v>0</v>
      </c>
      <c r="AG27" s="761"/>
    </row>
    <row r="28" spans="1:33" ht="20.149999999999999" customHeight="1" x14ac:dyDescent="0.6">
      <c r="A28" s="387"/>
      <c r="B28" s="273"/>
      <c r="C28" s="772"/>
      <c r="D28" s="773"/>
      <c r="E28" s="272"/>
      <c r="F28" s="272"/>
      <c r="G28" s="272"/>
      <c r="H28" s="272"/>
      <c r="I28" s="272"/>
      <c r="J28" s="272"/>
      <c r="K28" s="272"/>
      <c r="L28" s="272"/>
      <c r="M28" s="272"/>
      <c r="N28" s="113">
        <f>IF(AND(E28="Beg. Nov.",G28="1st"),'Point Schedule'!$B$20,IF(AND(E28="Beg. Nov.",G28="2nd"),'Point Schedule'!$B$21,IF(AND(E28="Beg. Nov.",G28="3rd"),'Point Schedule'!$B$22,IF(AND(E28="Beg. Nov.",G28="4th"),'Point Schedule'!$B$23,0))))</f>
        <v>0</v>
      </c>
      <c r="O28" s="113">
        <f>IF(AND($E28="Novice",$G28="1st"),'Point Schedule'!$C$20,IF(AND($E28="Novice",$G28="2nd"),'Point Schedule'!$C$21,IF(AND($E28="Novice",$G28="3rd"),'Point Schedule'!$C$22,IF(AND($E28="Novice",$G28="4th"),'Point Schedule'!$C$23,0))))</f>
        <v>0</v>
      </c>
      <c r="P28" s="113">
        <f>IF(AND($E28="Grad Nov",$G28="1st"),'Point Schedule'!$D$20,IF(AND($E28="Grad Nov",$G28="2nd"),'Point Schedule'!$D$21,IF(AND($E28="Grad Nov",$G28="3rd"),'Point Schedule'!$D$22,IF(AND($E28="Grad Nov",$G28="4th"),'Point Schedule'!$D$23,0))))</f>
        <v>0</v>
      </c>
      <c r="Q28" s="113">
        <f>IF(AND(E28="Open",G28="1st"),'Point Schedule'!$E$20,IF(AND(E28="Open",G28="2nd"),'Point Schedule'!$E$21,IF(AND(E28="Open",G28="3rd"),'Point Schedule'!$E$22,IF(AND(E28="Open",G28="4th"),'Point Schedule'!$E$23,0))))</f>
        <v>0</v>
      </c>
      <c r="R28" s="113">
        <f>IF(AND($E28="Grad Open",$G28="1st"),'Point Schedule'!$F$20,IF(AND($E28="Grad Open",$G28="2nd"),'Point Schedule'!$F$21,IF(AND($E28="Grad Open",$G28="3rd"),'Point Schedule'!$F$22,IF(AND($E28="Grad Open",$G28="4th"),'Point Schedule'!$F$23,0))))</f>
        <v>0</v>
      </c>
      <c r="S28" s="113">
        <f>IF(AND(E28="Utility",G28="1st"),'Point Schedule'!$G$20,IF(AND(E28="Utility",G28="2nd"),'Point Schedule'!$G$21,IF(AND(E28="Utility",G28="3rd"),'Point Schedule'!$G$22,IF(AND(E28="Utility",G28="4th"),'Point Schedule'!$G$23,0))))</f>
        <v>0</v>
      </c>
      <c r="T28" s="113">
        <f>IF(AND($E28="Ver",$G28="1st"),'Point Schedule'!$H$20,IF(AND($E28="Ver",$G28="2nd"),'Point Schedule'!$H$21,IF(AND($E28="Ver",$G28="3rd"),'Point Schedule'!$H$22,IF(AND($E28="Ver",$G28="4th"),'Point Schedule'!$H$23,0))))</f>
        <v>0</v>
      </c>
      <c r="U28" s="113">
        <f>IF(AND($E28="Pref Nov",$G28="1st"),'Point Schedule'!$C$64,IF(AND($E28="Pref Nov",$G28="2nd"),'Point Schedule'!$C$65,IF(AND($E28="Pref Nov",$G28="3rd"),'Point Schedule'!$C$66,IF(AND($E28="Pref Nov",$G28="4th"),'Point Schedule'!$C$67,0))))</f>
        <v>0</v>
      </c>
      <c r="V28" s="113">
        <f>IF(AND($E28="Pref Open",$G28="1st"),'Point Schedule'!$E$64,IF(AND($E28="Pref Open",$G28="2nd"),'Point Schedule'!$E$65,IF(AND($E28="Pref Open",$G28="3rd"),'Point Schedule'!$E$66,IF(AND($E28="Pref Open",$G28="4th"),'Point Schedule'!$E$67,0))))</f>
        <v>0</v>
      </c>
      <c r="W28" s="113">
        <f>IF(AND($E28="Pref Utility",$G28="1st"),'Point Schedule'!$G$64,IF(AND($E28="Pref Utility",$G28="2nd"),'Point Schedule'!$G$65,IF(AND($E28="Pref Utility",$G28="3rd"),'Point Schedule'!$G$66,IF(AND($E28="Pref Utility",$G28="4th"),'Point Schedule'!$G$67,0))))</f>
        <v>0</v>
      </c>
      <c r="X28" s="113">
        <f>IF(AND($E28="Pref Utility",$B28=$B29,NOT($E28=$E29),$J28="Yes"),'Point Schedule'!$C$72,0)</f>
        <v>0</v>
      </c>
      <c r="Y28" s="113">
        <f>IF(AND($E28="Beg. Nov.",$H28="Yes"),'Point Schedule'!$B$25,IF(AND($E28="Novice",$H28="Yes"),'Point Schedule'!$C$25,IF(AND($E28="Pref Nov",$H28="Yes"),'Point Schedule'!$C$69,IF(AND($E28="Grad Nov",$H28="Yes"),'Point Schedule'!$D$25,IF(AND($E28="Open",$H28="Yes"),'Point Schedule'!$E$25,IF(AND($E28="Pref Open",$H28="Yes"),'Point Schedule'!$E$69,IF(AND($E28="Grad Open",$H28="Yes"),'Point Schedule'!$F$25,IF(AND($E28="Ver",$H28="Yes"),'Point Schedule'!$H$25,IF(AND($E28="Utility",$H28="Yes"),'Point Schedule'!$G$25,IF(AND($E28="Pref Utility",$H28="Yes"),'Point Schedule'!$G$69,0))))))))))</f>
        <v>0</v>
      </c>
      <c r="Z28" s="113">
        <f>IF($I28&gt;=195,'Point Schedule'!$C$27,0)</f>
        <v>0</v>
      </c>
      <c r="AA28" s="96">
        <f>IF(AND($E28="Utility",$B28=$B29,NOT($E28=$E29),$J28="Yes"),'[1]Point Schedule'!$C$28,0)</f>
        <v>0</v>
      </c>
      <c r="AB28" s="113">
        <f>IF($K28="Yes",'Point Schedule'!$C$29,0)</f>
        <v>0</v>
      </c>
      <c r="AC28" s="113">
        <f>IF($L28="Yes",'Point Schedule'!$C$30,0)</f>
        <v>0</v>
      </c>
      <c r="AD28" s="114">
        <f>IF(M28="Yes",'Point Schedule'!$C$31,0)</f>
        <v>0</v>
      </c>
      <c r="AE28" s="122">
        <f t="shared" si="0"/>
        <v>0</v>
      </c>
      <c r="AF28" s="123">
        <f t="shared" si="1"/>
        <v>0</v>
      </c>
      <c r="AG28" s="761"/>
    </row>
    <row r="29" spans="1:33" ht="20.149999999999999" customHeight="1" x14ac:dyDescent="0.6">
      <c r="A29" s="387"/>
      <c r="B29" s="273"/>
      <c r="C29" s="772"/>
      <c r="D29" s="773"/>
      <c r="E29" s="272"/>
      <c r="F29" s="272"/>
      <c r="G29" s="272"/>
      <c r="H29" s="272"/>
      <c r="I29" s="272"/>
      <c r="J29" s="272"/>
      <c r="K29" s="272"/>
      <c r="L29" s="272"/>
      <c r="M29" s="272"/>
      <c r="N29" s="113">
        <f>IF(AND(E29="Beg. Nov.",G29="1st"),'Point Schedule'!$B$20,IF(AND(E29="Beg. Nov.",G29="2nd"),'Point Schedule'!$B$21,IF(AND(E29="Beg. Nov.",G29="3rd"),'Point Schedule'!$B$22,IF(AND(E29="Beg. Nov.",G29="4th"),'Point Schedule'!$B$23,0))))</f>
        <v>0</v>
      </c>
      <c r="O29" s="113">
        <f>IF(AND($E29="Novice",$G29="1st"),'Point Schedule'!$C$20,IF(AND($E29="Novice",$G29="2nd"),'Point Schedule'!$C$21,IF(AND($E29="Novice",$G29="3rd"),'Point Schedule'!$C$22,IF(AND($E29="Novice",$G29="4th"),'Point Schedule'!$C$23,0))))</f>
        <v>0</v>
      </c>
      <c r="P29" s="113">
        <f>IF(AND($E29="Grad Nov",$G29="1st"),'Point Schedule'!$D$20,IF(AND($E29="Grad Nov",$G29="2nd"),'Point Schedule'!$D$21,IF(AND($E29="Grad Nov",$G29="3rd"),'Point Schedule'!$D$22,IF(AND($E29="Grad Nov",$G29="4th"),'Point Schedule'!$D$23,0))))</f>
        <v>0</v>
      </c>
      <c r="Q29" s="113">
        <f>IF(AND(E29="Open",G29="1st"),'Point Schedule'!$E$20,IF(AND(E29="Open",G29="2nd"),'Point Schedule'!$E$21,IF(AND(E29="Open",G29="3rd"),'Point Schedule'!$E$22,IF(AND(E29="Open",G29="4th"),'Point Schedule'!$E$23,0))))</f>
        <v>0</v>
      </c>
      <c r="R29" s="113">
        <f>IF(AND($E29="Grad Open",$G29="1st"),'Point Schedule'!$F$20,IF(AND($E29="Grad Open",$G29="2nd"),'Point Schedule'!$F$21,IF(AND($E29="Grad Open",$G29="3rd"),'Point Schedule'!$F$22,IF(AND($E29="Grad Open",$G29="4th"),'Point Schedule'!$F$23,0))))</f>
        <v>0</v>
      </c>
      <c r="S29" s="113">
        <f>IF(AND(E29="Utility",G29="1st"),'Point Schedule'!$G$20,IF(AND(E29="Utility",G29="2nd"),'Point Schedule'!$G$21,IF(AND(E29="Utility",G29="3rd"),'Point Schedule'!$G$22,IF(AND(E29="Utility",G29="4th"),'Point Schedule'!$G$23,0))))</f>
        <v>0</v>
      </c>
      <c r="T29" s="113">
        <f>IF(AND($E29="Ver",$G29="1st"),'Point Schedule'!$H$20,IF(AND($E29="Ver",$G29="2nd"),'Point Schedule'!$H$21,IF(AND($E29="Ver",$G29="3rd"),'Point Schedule'!$H$22,IF(AND($E29="Ver",$G29="4th"),'Point Schedule'!$H$23,0))))</f>
        <v>0</v>
      </c>
      <c r="U29" s="113">
        <f>IF(AND($E29="Pref Nov",$G29="1st"),'Point Schedule'!$C$64,IF(AND($E29="Pref Nov",$G29="2nd"),'Point Schedule'!$C$65,IF(AND($E29="Pref Nov",$G29="3rd"),'Point Schedule'!$C$66,IF(AND($E29="Pref Nov",$G29="4th"),'Point Schedule'!$C$67,0))))</f>
        <v>0</v>
      </c>
      <c r="V29" s="113">
        <f>IF(AND($E29="Pref Open",$G29="1st"),'Point Schedule'!$E$64,IF(AND($E29="Pref Open",$G29="2nd"),'Point Schedule'!$E$65,IF(AND($E29="Pref Open",$G29="3rd"),'Point Schedule'!$E$66,IF(AND($E29="Pref Open",$G29="4th"),'Point Schedule'!$E$67,0))))</f>
        <v>0</v>
      </c>
      <c r="W29" s="113">
        <f>IF(AND($E29="Pref Utility",$G29="1st"),'Point Schedule'!$G$64,IF(AND($E29="Pref Utility",$G29="2nd"),'Point Schedule'!$G$65,IF(AND($E29="Pref Utility",$G29="3rd"),'Point Schedule'!$G$66,IF(AND($E29="Pref Utility",$G29="4th"),'Point Schedule'!$G$67,0))))</f>
        <v>0</v>
      </c>
      <c r="X29" s="113">
        <f>IF(AND($E29="Pref Utility",$B29=$B30,NOT($E29=$E30),$J29="Yes"),'Point Schedule'!$C$72,0)</f>
        <v>0</v>
      </c>
      <c r="Y29" s="113">
        <f>IF(AND($E29="Beg. Nov.",$H29="Yes"),'Point Schedule'!$B$25,IF(AND($E29="Novice",$H29="Yes"),'Point Schedule'!$C$25,IF(AND($E29="Pref Nov",$H29="Yes"),'Point Schedule'!$C$69,IF(AND($E29="Grad Nov",$H29="Yes"),'Point Schedule'!$D$25,IF(AND($E29="Open",$H29="Yes"),'Point Schedule'!$E$25,IF(AND($E29="Pref Open",$H29="Yes"),'Point Schedule'!$E$69,IF(AND($E29="Grad Open",$H29="Yes"),'Point Schedule'!$F$25,IF(AND($E29="Ver",$H29="Yes"),'Point Schedule'!$H$25,IF(AND($E29="Utility",$H29="Yes"),'Point Schedule'!$G$25,IF(AND($E29="Pref Utility",$H29="Yes"),'Point Schedule'!$G$69,0))))))))))</f>
        <v>0</v>
      </c>
      <c r="Z29" s="113">
        <f>IF($I29&gt;=195,'Point Schedule'!$C$27,0)</f>
        <v>0</v>
      </c>
      <c r="AA29" s="96">
        <f>IF(AND($E29="Utility",$B29=$B30,NOT($E29=$E30),$J29="Yes"),'[1]Point Schedule'!$C$28,0)</f>
        <v>0</v>
      </c>
      <c r="AB29" s="113">
        <f>IF($K29="Yes",'Point Schedule'!$C$29,0)</f>
        <v>0</v>
      </c>
      <c r="AC29" s="113">
        <f>IF($L29="Yes",'Point Schedule'!$C$30,0)</f>
        <v>0</v>
      </c>
      <c r="AD29" s="114">
        <f>IF(M29="Yes",'Point Schedule'!$C$31,0)</f>
        <v>0</v>
      </c>
      <c r="AE29" s="122">
        <f t="shared" si="0"/>
        <v>0</v>
      </c>
      <c r="AF29" s="123">
        <f t="shared" si="1"/>
        <v>0</v>
      </c>
      <c r="AG29" s="761"/>
    </row>
    <row r="30" spans="1:33" ht="20.149999999999999" customHeight="1" x14ac:dyDescent="0.6">
      <c r="A30" s="387"/>
      <c r="B30" s="273"/>
      <c r="C30" s="772"/>
      <c r="D30" s="773"/>
      <c r="E30" s="272"/>
      <c r="F30" s="272"/>
      <c r="G30" s="272"/>
      <c r="H30" s="272"/>
      <c r="I30" s="272"/>
      <c r="J30" s="272"/>
      <c r="K30" s="272"/>
      <c r="L30" s="272"/>
      <c r="M30" s="272"/>
      <c r="N30" s="113">
        <f>IF(AND(E30="Beg. Nov.",G30="1st"),'Point Schedule'!$B$20,IF(AND(E30="Beg. Nov.",G30="2nd"),'Point Schedule'!$B$21,IF(AND(E30="Beg. Nov.",G30="3rd"),'Point Schedule'!$B$22,IF(AND(E30="Beg. Nov.",G30="4th"),'Point Schedule'!$B$23,0))))</f>
        <v>0</v>
      </c>
      <c r="O30" s="113">
        <f>IF(AND($E30="Novice",$G30="1st"),'Point Schedule'!$C$20,IF(AND($E30="Novice",$G30="2nd"),'Point Schedule'!$C$21,IF(AND($E30="Novice",$G30="3rd"),'Point Schedule'!$C$22,IF(AND($E30="Novice",$G30="4th"),'Point Schedule'!$C$23,0))))</f>
        <v>0</v>
      </c>
      <c r="P30" s="113">
        <f>IF(AND($E30="Grad Nov",$G30="1st"),'Point Schedule'!$D$20,IF(AND($E30="Grad Nov",$G30="2nd"),'Point Schedule'!$D$21,IF(AND($E30="Grad Nov",$G30="3rd"),'Point Schedule'!$D$22,IF(AND($E30="Grad Nov",$G30="4th"),'Point Schedule'!$D$23,0))))</f>
        <v>0</v>
      </c>
      <c r="Q30" s="113">
        <f>IF(AND(E30="Open",G30="1st"),'Point Schedule'!$E$20,IF(AND(E30="Open",G30="2nd"),'Point Schedule'!$E$21,IF(AND(E30="Open",G30="3rd"),'Point Schedule'!$E$22,IF(AND(E30="Open",G30="4th"),'Point Schedule'!$E$23,0))))</f>
        <v>0</v>
      </c>
      <c r="R30" s="113">
        <f>IF(AND($E30="Grad Open",$G30="1st"),'Point Schedule'!$F$20,IF(AND($E30="Grad Open",$G30="2nd"),'Point Schedule'!$F$21,IF(AND($E30="Grad Open",$G30="3rd"),'Point Schedule'!$F$22,IF(AND($E30="Grad Open",$G30="4th"),'Point Schedule'!$F$23,0))))</f>
        <v>0</v>
      </c>
      <c r="S30" s="113">
        <f>IF(AND(E30="Utility",G30="1st"),'Point Schedule'!$G$20,IF(AND(E30="Utility",G30="2nd"),'Point Schedule'!$G$21,IF(AND(E30="Utility",G30="3rd"),'Point Schedule'!$G$22,IF(AND(E30="Utility",G30="4th"),'Point Schedule'!$G$23,0))))</f>
        <v>0</v>
      </c>
      <c r="T30" s="113">
        <f>IF(AND($E30="Ver",$G30="1st"),'Point Schedule'!$H$20,IF(AND($E30="Ver",$G30="2nd"),'Point Schedule'!$H$21,IF(AND($E30="Ver",$G30="3rd"),'Point Schedule'!$H$22,IF(AND($E30="Ver",$G30="4th"),'Point Schedule'!$H$23,0))))</f>
        <v>0</v>
      </c>
      <c r="U30" s="113">
        <f>IF(AND($E30="Pref Nov",$G30="1st"),'Point Schedule'!$C$64,IF(AND($E30="Pref Nov",$G30="2nd"),'Point Schedule'!$C$65,IF(AND($E30="Pref Nov",$G30="3rd"),'Point Schedule'!$C$66,IF(AND($E30="Pref Nov",$G30="4th"),'Point Schedule'!$C$67,0))))</f>
        <v>0</v>
      </c>
      <c r="V30" s="113">
        <f>IF(AND($E30="Pref Open",$G30="1st"),'Point Schedule'!$E$64,IF(AND($E30="Pref Open",$G30="2nd"),'Point Schedule'!$E$65,IF(AND($E30="Pref Open",$G30="3rd"),'Point Schedule'!$E$66,IF(AND($E30="Pref Open",$G30="4th"),'Point Schedule'!$E$67,0))))</f>
        <v>0</v>
      </c>
      <c r="W30" s="113">
        <f>IF(AND($E30="Pref Utility",$G30="1st"),'Point Schedule'!$G$64,IF(AND($E30="Pref Utility",$G30="2nd"),'Point Schedule'!$G$65,IF(AND($E30="Pref Utility",$G30="3rd"),'Point Schedule'!$G$66,IF(AND($E30="Pref Utility",$G30="4th"),'Point Schedule'!$G$67,0))))</f>
        <v>0</v>
      </c>
      <c r="X30" s="113">
        <f>IF(AND($E30="Pref Utility",$B30=$B31,NOT($E30=$E31),$J30="Yes"),'Point Schedule'!$C$72,0)</f>
        <v>0</v>
      </c>
      <c r="Y30" s="113">
        <f>IF(AND($E30="Beg. Nov.",$H30="Yes"),'Point Schedule'!$B$25,IF(AND($E30="Novice",$H30="Yes"),'Point Schedule'!$C$25,IF(AND($E30="Pref Nov",$H30="Yes"),'Point Schedule'!$C$69,IF(AND($E30="Grad Nov",$H30="Yes"),'Point Schedule'!$D$25,IF(AND($E30="Open",$H30="Yes"),'Point Schedule'!$E$25,IF(AND($E30="Pref Open",$H30="Yes"),'Point Schedule'!$E$69,IF(AND($E30="Grad Open",$H30="Yes"),'Point Schedule'!$F$25,IF(AND($E30="Ver",$H30="Yes"),'Point Schedule'!$H$25,IF(AND($E30="Utility",$H30="Yes"),'Point Schedule'!$G$25,IF(AND($E30="Pref Utility",$H30="Yes"),'Point Schedule'!$G$69,0))))))))))</f>
        <v>0</v>
      </c>
      <c r="Z30" s="113">
        <f>IF($I30&gt;=195,'Point Schedule'!$C$27,0)</f>
        <v>0</v>
      </c>
      <c r="AA30" s="96">
        <f>IF(AND($E30="Utility",$B30=$B31,NOT($E30=$E31),$J30="Yes"),'[1]Point Schedule'!$C$28,0)</f>
        <v>0</v>
      </c>
      <c r="AB30" s="113">
        <f>IF($K30="Yes",'Point Schedule'!$C$29,0)</f>
        <v>0</v>
      </c>
      <c r="AC30" s="113">
        <f>IF($L30="Yes",'Point Schedule'!$C$30,0)</f>
        <v>0</v>
      </c>
      <c r="AD30" s="114">
        <f>IF(M30="Yes",'Point Schedule'!$C$31,0)</f>
        <v>0</v>
      </c>
      <c r="AE30" s="122">
        <f t="shared" si="0"/>
        <v>0</v>
      </c>
      <c r="AF30" s="123">
        <f t="shared" si="1"/>
        <v>0</v>
      </c>
      <c r="AG30" s="761"/>
    </row>
    <row r="31" spans="1:33" ht="20.149999999999999" customHeight="1" x14ac:dyDescent="0.6">
      <c r="A31" s="387"/>
      <c r="B31" s="273"/>
      <c r="C31" s="772"/>
      <c r="D31" s="773"/>
      <c r="E31" s="272"/>
      <c r="F31" s="272"/>
      <c r="G31" s="272"/>
      <c r="H31" s="272"/>
      <c r="I31" s="272"/>
      <c r="J31" s="272"/>
      <c r="K31" s="272"/>
      <c r="L31" s="272"/>
      <c r="M31" s="272"/>
      <c r="N31" s="113">
        <f>IF(AND(E31="Beg. Nov.",G31="1st"),'Point Schedule'!$B$20,IF(AND(E31="Beg. Nov.",G31="2nd"),'Point Schedule'!$B$21,IF(AND(E31="Beg. Nov.",G31="3rd"),'Point Schedule'!$B$22,IF(AND(E31="Beg. Nov.",G31="4th"),'Point Schedule'!$B$23,0))))</f>
        <v>0</v>
      </c>
      <c r="O31" s="113">
        <f>IF(AND($E31="Novice",$G31="1st"),'Point Schedule'!$C$20,IF(AND($E31="Novice",$G31="2nd"),'Point Schedule'!$C$21,IF(AND($E31="Novice",$G31="3rd"),'Point Schedule'!$C$22,IF(AND($E31="Novice",$G31="4th"),'Point Schedule'!$C$23,0))))</f>
        <v>0</v>
      </c>
      <c r="P31" s="113">
        <f>IF(AND($E31="Grad Nov",$G31="1st"),'Point Schedule'!$D$20,IF(AND($E31="Grad Nov",$G31="2nd"),'Point Schedule'!$D$21,IF(AND($E31="Grad Nov",$G31="3rd"),'Point Schedule'!$D$22,IF(AND($E31="Grad Nov",$G31="4th"),'Point Schedule'!$D$23,0))))</f>
        <v>0</v>
      </c>
      <c r="Q31" s="113">
        <f>IF(AND(E31="Open",G31="1st"),'Point Schedule'!$E$20,IF(AND(E31="Open",G31="2nd"),'Point Schedule'!$E$21,IF(AND(E31="Open",G31="3rd"),'Point Schedule'!$E$22,IF(AND(E31="Open",G31="4th"),'Point Schedule'!$E$23,0))))</f>
        <v>0</v>
      </c>
      <c r="R31" s="113">
        <f>IF(AND($E31="Grad Open",$G31="1st"),'Point Schedule'!$F$20,IF(AND($E31="Grad Open",$G31="2nd"),'Point Schedule'!$F$21,IF(AND($E31="Grad Open",$G31="3rd"),'Point Schedule'!$F$22,IF(AND($E31="Grad Open",$G31="4th"),'Point Schedule'!$F$23,0))))</f>
        <v>0</v>
      </c>
      <c r="S31" s="113">
        <f>IF(AND(E31="Utility",G31="1st"),'Point Schedule'!$G$20,IF(AND(E31="Utility",G31="2nd"),'Point Schedule'!$G$21,IF(AND(E31="Utility",G31="3rd"),'Point Schedule'!$G$22,IF(AND(E31="Utility",G31="4th"),'Point Schedule'!$G$23,0))))</f>
        <v>0</v>
      </c>
      <c r="T31" s="113">
        <f>IF(AND($E31="Ver",$G31="1st"),'Point Schedule'!$H$20,IF(AND($E31="Ver",$G31="2nd"),'Point Schedule'!$H$21,IF(AND($E31="Ver",$G31="3rd"),'Point Schedule'!$H$22,IF(AND($E31="Ver",$G31="4th"),'Point Schedule'!$H$23,0))))</f>
        <v>0</v>
      </c>
      <c r="U31" s="113">
        <f>IF(AND($E31="Pref Nov",$G31="1st"),'Point Schedule'!$C$64,IF(AND($E31="Pref Nov",$G31="2nd"),'Point Schedule'!$C$65,IF(AND($E31="Pref Nov",$G31="3rd"),'Point Schedule'!$C$66,IF(AND($E31="Pref Nov",$G31="4th"),'Point Schedule'!$C$67,0))))</f>
        <v>0</v>
      </c>
      <c r="V31" s="113">
        <f>IF(AND($E31="Pref Open",$G31="1st"),'Point Schedule'!$E$64,IF(AND($E31="Pref Open",$G31="2nd"),'Point Schedule'!$E$65,IF(AND($E31="Pref Open",$G31="3rd"),'Point Schedule'!$E$66,IF(AND($E31="Pref Open",$G31="4th"),'Point Schedule'!$E$67,0))))</f>
        <v>0</v>
      </c>
      <c r="W31" s="113">
        <f>IF(AND($E31="Pref Utility",$G31="1st"),'Point Schedule'!$G$64,IF(AND($E31="Pref Utility",$G31="2nd"),'Point Schedule'!$G$65,IF(AND($E31="Pref Utility",$G31="3rd"),'Point Schedule'!$G$66,IF(AND($E31="Pref Utility",$G31="4th"),'Point Schedule'!$G$67,0))))</f>
        <v>0</v>
      </c>
      <c r="X31" s="113">
        <f>IF(AND($E31="Pref Utility",$B31=$B32,NOT($E31=$E32),$J31="Yes"),'Point Schedule'!$C$72,0)</f>
        <v>0</v>
      </c>
      <c r="Y31" s="113">
        <f>IF(AND($E31="Beg. Nov.",$H31="Yes"),'Point Schedule'!$B$25,IF(AND($E31="Novice",$H31="Yes"),'Point Schedule'!$C$25,IF(AND($E31="Pref Nov",$H31="Yes"),'Point Schedule'!$C$69,IF(AND($E31="Grad Nov",$H31="Yes"),'Point Schedule'!$D$25,IF(AND($E31="Open",$H31="Yes"),'Point Schedule'!$E$25,IF(AND($E31="Pref Open",$H31="Yes"),'Point Schedule'!$E$69,IF(AND($E31="Grad Open",$H31="Yes"),'Point Schedule'!$F$25,IF(AND($E31="Ver",$H31="Yes"),'Point Schedule'!$H$25,IF(AND($E31="Utility",$H31="Yes"),'Point Schedule'!$G$25,IF(AND($E31="Pref Utility",$H31="Yes"),'Point Schedule'!$G$69,0))))))))))</f>
        <v>0</v>
      </c>
      <c r="Z31" s="113">
        <f>IF($I31&gt;=195,'Point Schedule'!$C$27,0)</f>
        <v>0</v>
      </c>
      <c r="AA31" s="96">
        <f>IF(AND($E31="Utility",$B31=$B32,NOT($E31=$E32),$J31="Yes"),'[1]Point Schedule'!$C$28,0)</f>
        <v>0</v>
      </c>
      <c r="AB31" s="113">
        <f>IF($K31="Yes",'Point Schedule'!$C$29,0)</f>
        <v>0</v>
      </c>
      <c r="AC31" s="113">
        <f>IF($L31="Yes",'Point Schedule'!$C$30,0)</f>
        <v>0</v>
      </c>
      <c r="AD31" s="114">
        <f>IF(M31="Yes",'Point Schedule'!$C$31,0)</f>
        <v>0</v>
      </c>
      <c r="AE31" s="122">
        <f t="shared" si="0"/>
        <v>0</v>
      </c>
      <c r="AF31" s="123">
        <f t="shared" si="1"/>
        <v>0</v>
      </c>
      <c r="AG31" s="761"/>
    </row>
    <row r="32" spans="1:33" ht="20.149999999999999" customHeight="1" x14ac:dyDescent="0.6">
      <c r="A32" s="387"/>
      <c r="B32" s="274"/>
      <c r="C32" s="772"/>
      <c r="D32" s="773"/>
      <c r="E32" s="275"/>
      <c r="F32" s="275"/>
      <c r="G32" s="275"/>
      <c r="H32" s="275"/>
      <c r="I32" s="275"/>
      <c r="J32" s="275"/>
      <c r="K32" s="275"/>
      <c r="L32" s="275"/>
      <c r="M32" s="275"/>
      <c r="N32" s="113">
        <f>IF(AND(E32="Beg. Nov.",G32="1st"),'Point Schedule'!$B$20,IF(AND(E32="Beg. Nov.",G32="2nd"),'Point Schedule'!$B$21,IF(AND(E32="Beg. Nov.",G32="3rd"),'Point Schedule'!$B$22,IF(AND(E32="Beg. Nov.",G32="4th"),'Point Schedule'!$B$23,0))))</f>
        <v>0</v>
      </c>
      <c r="O32" s="113">
        <f>IF(AND($E32="Novice",$G32="1st"),'Point Schedule'!$C$20,IF(AND($E32="Novice",$G32="2nd"),'Point Schedule'!$C$21,IF(AND($E32="Novice",$G32="3rd"),'Point Schedule'!$C$22,IF(AND($E32="Novice",$G32="4th"),'Point Schedule'!$C$23,0))))</f>
        <v>0</v>
      </c>
      <c r="P32" s="113">
        <f>IF(AND($E32="Grad Nov",$G32="1st"),'Point Schedule'!$D$20,IF(AND($E32="Grad Nov",$G32="2nd"),'Point Schedule'!$D$21,IF(AND($E32="Grad Nov",$G32="3rd"),'Point Schedule'!$D$22,IF(AND($E32="Grad Nov",$G32="4th"),'Point Schedule'!$D$23,0))))</f>
        <v>0</v>
      </c>
      <c r="Q32" s="113">
        <f>IF(AND(E32="Open",G32="1st"),'Point Schedule'!$E$20,IF(AND(E32="Open",G32="2nd"),'Point Schedule'!$E$21,IF(AND(E32="Open",G32="3rd"),'Point Schedule'!$E$22,IF(AND(E32="Open",G32="4th"),'Point Schedule'!$E$23,0))))</f>
        <v>0</v>
      </c>
      <c r="R32" s="113">
        <f>IF(AND($E32="Grad Open",$G32="1st"),'Point Schedule'!$F$20,IF(AND($E32="Grad Open",$G32="2nd"),'Point Schedule'!$F$21,IF(AND($E32="Grad Open",$G32="3rd"),'Point Schedule'!$F$22,IF(AND($E32="Grad Open",$G32="4th"),'Point Schedule'!$F$23,0))))</f>
        <v>0</v>
      </c>
      <c r="S32" s="113">
        <f>IF(AND(E32="Utility",G32="1st"),'Point Schedule'!$G$20,IF(AND(E32="Utility",G32="2nd"),'Point Schedule'!$G$21,IF(AND(E32="Utility",G32="3rd"),'Point Schedule'!$G$22,IF(AND(E32="Utility",G32="4th"),'Point Schedule'!$G$23,0))))</f>
        <v>0</v>
      </c>
      <c r="T32" s="113">
        <f>IF(AND($E32="Ver",$G32="1st"),'Point Schedule'!$H$20,IF(AND($E32="Ver",$G32="2nd"),'Point Schedule'!$H$21,IF(AND($E32="Ver",$G32="3rd"),'Point Schedule'!$H$22,IF(AND($E32="Ver",$G32="4th"),'Point Schedule'!$H$23,0))))</f>
        <v>0</v>
      </c>
      <c r="U32" s="113">
        <f>IF(AND($E32="Pref Nov",$G32="1st"),'Point Schedule'!$C$64,IF(AND($E32="Pref Nov",$G32="2nd"),'Point Schedule'!$C$65,IF(AND($E32="Pref Nov",$G32="3rd"),'Point Schedule'!$C$66,IF(AND($E32="Pref Nov",$G32="4th"),'Point Schedule'!$C$67,0))))</f>
        <v>0</v>
      </c>
      <c r="V32" s="113">
        <f>IF(AND($E32="Pref Open",$G32="1st"),'Point Schedule'!$E$64,IF(AND($E32="Pref Open",$G32="2nd"),'Point Schedule'!$E$65,IF(AND($E32="Pref Open",$G32="3rd"),'Point Schedule'!$E$66,IF(AND($E32="Pref Open",$G32="4th"),'Point Schedule'!$E$67,0))))</f>
        <v>0</v>
      </c>
      <c r="W32" s="113">
        <f>IF(AND($E32="Pref Utility",$G32="1st"),'Point Schedule'!$G$64,IF(AND($E32="Pref Utility",$G32="2nd"),'Point Schedule'!$G$65,IF(AND($E32="Pref Utility",$G32="3rd"),'Point Schedule'!$G$66,IF(AND($E32="Pref Utility",$G32="4th"),'Point Schedule'!$G$67,0))))</f>
        <v>0</v>
      </c>
      <c r="X32" s="113">
        <f>IF(AND($E32="Pref Utility",$B32=$B33,NOT($E32=$E33),$J32="Yes"),'Point Schedule'!$C$72,0)</f>
        <v>0</v>
      </c>
      <c r="Y32" s="113">
        <f>IF(AND($E32="Beg. Nov.",$H32="Yes"),'Point Schedule'!$B$25,IF(AND($E32="Novice",$H32="Yes"),'Point Schedule'!$C$25,IF(AND($E32="Pref Nov",$H32="Yes"),'Point Schedule'!$C$69,IF(AND($E32="Grad Nov",$H32="Yes"),'Point Schedule'!$D$25,IF(AND($E32="Open",$H32="Yes"),'Point Schedule'!$E$25,IF(AND($E32="Pref Open",$H32="Yes"),'Point Schedule'!$E$69,IF(AND($E32="Grad Open",$H32="Yes"),'Point Schedule'!$F$25,IF(AND($E32="Ver",$H32="Yes"),'Point Schedule'!$H$25,IF(AND($E32="Utility",$H32="Yes"),'Point Schedule'!$G$25,IF(AND($E32="Pref Utility",$H32="Yes"),'Point Schedule'!$G$69,0))))))))))</f>
        <v>0</v>
      </c>
      <c r="Z32" s="113">
        <f>IF($I32&gt;=195,'Point Schedule'!$C$27,0)</f>
        <v>0</v>
      </c>
      <c r="AA32" s="96">
        <f>IF(AND($E32="Utility",$B32=$B33,NOT($E32=$E33),$J32="Yes"),'[1]Point Schedule'!$C$28,0)</f>
        <v>0</v>
      </c>
      <c r="AB32" s="113">
        <f>IF($K32="Yes",'Point Schedule'!$C$29,0)</f>
        <v>0</v>
      </c>
      <c r="AC32" s="113">
        <f>IF($L32="Yes",'Point Schedule'!$C$30,0)</f>
        <v>0</v>
      </c>
      <c r="AD32" s="114">
        <f>IF(M32="Yes",'Point Schedule'!$C$31,0)</f>
        <v>0</v>
      </c>
      <c r="AE32" s="122">
        <f t="shared" si="0"/>
        <v>0</v>
      </c>
      <c r="AF32" s="123">
        <f t="shared" si="1"/>
        <v>0</v>
      </c>
      <c r="AG32" s="761"/>
    </row>
    <row r="33" spans="1:33" ht="20.149999999999999" customHeight="1" x14ac:dyDescent="0.6">
      <c r="A33" s="387"/>
      <c r="B33" s="274"/>
      <c r="C33" s="772"/>
      <c r="D33" s="773"/>
      <c r="E33" s="275"/>
      <c r="F33" s="275"/>
      <c r="G33" s="275"/>
      <c r="H33" s="275"/>
      <c r="I33" s="275"/>
      <c r="J33" s="275"/>
      <c r="K33" s="275"/>
      <c r="L33" s="275"/>
      <c r="M33" s="275"/>
      <c r="N33" s="113">
        <f>IF(AND(E33="Beg. Nov.",G33="1st"),'Point Schedule'!$B$20,IF(AND(E33="Beg. Nov.",G33="2nd"),'Point Schedule'!$B$21,IF(AND(E33="Beg. Nov.",G33="3rd"),'Point Schedule'!$B$22,IF(AND(E33="Beg. Nov.",G33="4th"),'Point Schedule'!$B$23,0))))</f>
        <v>0</v>
      </c>
      <c r="O33" s="113">
        <f>IF(AND($E33="Novice",$G33="1st"),'Point Schedule'!$C$20,IF(AND($E33="Novice",$G33="2nd"),'Point Schedule'!$C$21,IF(AND($E33="Novice",$G33="3rd"),'Point Schedule'!$C$22,IF(AND($E33="Novice",$G33="4th"),'Point Schedule'!$C$23,0))))</f>
        <v>0</v>
      </c>
      <c r="P33" s="113">
        <f>IF(AND($E33="Grad Nov",$G33="1st"),'Point Schedule'!$D$20,IF(AND($E33="Grad Nov",$G33="2nd"),'Point Schedule'!$D$21,IF(AND($E33="Grad Nov",$G33="3rd"),'Point Schedule'!$D$22,IF(AND($E33="Grad Nov",$G33="4th"),'Point Schedule'!$D$23,0))))</f>
        <v>0</v>
      </c>
      <c r="Q33" s="113">
        <f>IF(AND(E33="Open",G33="1st"),'Point Schedule'!$E$20,IF(AND(E33="Open",G33="2nd"),'Point Schedule'!$E$21,IF(AND(E33="Open",G33="3rd"),'Point Schedule'!$E$22,IF(AND(E33="Open",G33="4th"),'Point Schedule'!$E$23,0))))</f>
        <v>0</v>
      </c>
      <c r="R33" s="113">
        <f>IF(AND($E33="Grad Open",$G33="1st"),'Point Schedule'!$F$20,IF(AND($E33="Grad Open",$G33="2nd"),'Point Schedule'!$F$21,IF(AND($E33="Grad Open",$G33="3rd"),'Point Schedule'!$F$22,IF(AND($E33="Grad Open",$G33="4th"),'Point Schedule'!$F$23,0))))</f>
        <v>0</v>
      </c>
      <c r="S33" s="113">
        <f>IF(AND(E33="Utility",G33="1st"),'Point Schedule'!$G$20,IF(AND(E33="Utility",G33="2nd"),'Point Schedule'!$G$21,IF(AND(E33="Utility",G33="3rd"),'Point Schedule'!$G$22,IF(AND(E33="Utility",G33="4th"),'Point Schedule'!$G$23,0))))</f>
        <v>0</v>
      </c>
      <c r="T33" s="113">
        <f>IF(AND($E33="Ver",$G33="1st"),'Point Schedule'!$H$20,IF(AND($E33="Ver",$G33="2nd"),'Point Schedule'!$H$21,IF(AND($E33="Ver",$G33="3rd"),'Point Schedule'!$H$22,IF(AND($E33="Ver",$G33="4th"),'Point Schedule'!$H$23,0))))</f>
        <v>0</v>
      </c>
      <c r="U33" s="113">
        <f>IF(AND($E33="Pref Nov",$G33="1st"),'Point Schedule'!$C$64,IF(AND($E33="Pref Nov",$G33="2nd"),'Point Schedule'!$C$65,IF(AND($E33="Pref Nov",$G33="3rd"),'Point Schedule'!$C$66,IF(AND($E33="Pref Nov",$G33="4th"),'Point Schedule'!$C$67,0))))</f>
        <v>0</v>
      </c>
      <c r="V33" s="113">
        <f>IF(AND($E33="Pref Open",$G33="1st"),'Point Schedule'!$E$64,IF(AND($E33="Pref Open",$G33="2nd"),'Point Schedule'!$E$65,IF(AND($E33="Pref Open",$G33="3rd"),'Point Schedule'!$E$66,IF(AND($E33="Pref Open",$G33="4th"),'Point Schedule'!$E$67,0))))</f>
        <v>0</v>
      </c>
      <c r="W33" s="113">
        <f>IF(AND($E33="Pref Utility",$G33="1st"),'Point Schedule'!$G$64,IF(AND($E33="Pref Utility",$G33="2nd"),'Point Schedule'!$G$65,IF(AND($E33="Pref Utility",$G33="3rd"),'Point Schedule'!$G$66,IF(AND($E33="Pref Utility",$G33="4th"),'Point Schedule'!$G$67,0))))</f>
        <v>0</v>
      </c>
      <c r="X33" s="113">
        <f>IF(AND($E33="Pref Utility",$B33=$B34,NOT($E33=$E34),$J33="Yes"),'Point Schedule'!$C$72,0)</f>
        <v>0</v>
      </c>
      <c r="Y33" s="113">
        <f>IF(AND($E33="Beg. Nov.",$H33="Yes"),'Point Schedule'!$B$25,IF(AND($E33="Novice",$H33="Yes"),'Point Schedule'!$C$25,IF(AND($E33="Pref Nov",$H33="Yes"),'Point Schedule'!$C$69,IF(AND($E33="Grad Nov",$H33="Yes"),'Point Schedule'!$D$25,IF(AND($E33="Open",$H33="Yes"),'Point Schedule'!$E$25,IF(AND($E33="Pref Open",$H33="Yes"),'Point Schedule'!$E$69,IF(AND($E33="Grad Open",$H33="Yes"),'Point Schedule'!$F$25,IF(AND($E33="Ver",$H33="Yes"),'Point Schedule'!$H$25,IF(AND($E33="Utility",$H33="Yes"),'Point Schedule'!$G$25,IF(AND($E33="Pref Utility",$H33="Yes"),'Point Schedule'!$G$69,0))))))))))</f>
        <v>0</v>
      </c>
      <c r="Z33" s="113">
        <f>IF($I33&gt;=195,'Point Schedule'!$C$27,0)</f>
        <v>0</v>
      </c>
      <c r="AA33" s="96">
        <f>IF(AND($E33="Utility",$B33=$B34,NOT($E33=$E34),$J33="Yes"),'[1]Point Schedule'!$C$28,0)</f>
        <v>0</v>
      </c>
      <c r="AB33" s="113">
        <f>IF($K33="Yes",'Point Schedule'!$C$29,0)</f>
        <v>0</v>
      </c>
      <c r="AC33" s="113">
        <f>IF($L33="Yes",'Point Schedule'!$C$30,0)</f>
        <v>0</v>
      </c>
      <c r="AD33" s="114">
        <f>IF(M33="Yes",'Point Schedule'!$C$31,0)</f>
        <v>0</v>
      </c>
      <c r="AE33" s="122">
        <f t="shared" si="0"/>
        <v>0</v>
      </c>
      <c r="AF33" s="123">
        <f t="shared" si="1"/>
        <v>0</v>
      </c>
      <c r="AG33" s="761"/>
    </row>
    <row r="34" spans="1:33" ht="20.149999999999999" customHeight="1" x14ac:dyDescent="0.6">
      <c r="A34" s="387"/>
      <c r="B34" s="274"/>
      <c r="C34" s="772"/>
      <c r="D34" s="773"/>
      <c r="E34" s="275"/>
      <c r="F34" s="275"/>
      <c r="G34" s="275"/>
      <c r="H34" s="275"/>
      <c r="I34" s="275"/>
      <c r="J34" s="275"/>
      <c r="K34" s="275"/>
      <c r="L34" s="275"/>
      <c r="M34" s="275"/>
      <c r="N34" s="113">
        <f>IF(AND(E34="Beg. Nov.",G34="1st"),'Point Schedule'!$B$20,IF(AND(E34="Beg. Nov.",G34="2nd"),'Point Schedule'!$B$21,IF(AND(E34="Beg. Nov.",G34="3rd"),'Point Schedule'!$B$22,IF(AND(E34="Beg. Nov.",G34="4th"),'Point Schedule'!$B$23,0))))</f>
        <v>0</v>
      </c>
      <c r="O34" s="113">
        <f>IF(AND($E34="Novice",$G34="1st"),'Point Schedule'!$C$20,IF(AND($E34="Novice",$G34="2nd"),'Point Schedule'!$C$21,IF(AND($E34="Novice",$G34="3rd"),'Point Schedule'!$C$22,IF(AND($E34="Novice",$G34="4th"),'Point Schedule'!$C$23,0))))</f>
        <v>0</v>
      </c>
      <c r="P34" s="113">
        <f>IF(AND($E34="Grad Nov",$G34="1st"),'Point Schedule'!$D$20,IF(AND($E34="Grad Nov",$G34="2nd"),'Point Schedule'!$D$21,IF(AND($E34="Grad Nov",$G34="3rd"),'Point Schedule'!$D$22,IF(AND($E34="Grad Nov",$G34="4th"),'Point Schedule'!$D$23,0))))</f>
        <v>0</v>
      </c>
      <c r="Q34" s="113">
        <f>IF(AND(E34="Open",G34="1st"),'Point Schedule'!$E$20,IF(AND(E34="Open",G34="2nd"),'Point Schedule'!$E$21,IF(AND(E34="Open",G34="3rd"),'Point Schedule'!$E$22,IF(AND(E34="Open",G34="4th"),'Point Schedule'!$E$23,0))))</f>
        <v>0</v>
      </c>
      <c r="R34" s="113">
        <f>IF(AND($E34="Grad Open",$G34="1st"),'Point Schedule'!$F$20,IF(AND($E34="Grad Open",$G34="2nd"),'Point Schedule'!$F$21,IF(AND($E34="Grad Open",$G34="3rd"),'Point Schedule'!$F$22,IF(AND($E34="Grad Open",$G34="4th"),'Point Schedule'!$F$23,0))))</f>
        <v>0</v>
      </c>
      <c r="S34" s="113">
        <f>IF(AND(E34="Utility",G34="1st"),'Point Schedule'!$G$20,IF(AND(E34="Utility",G34="2nd"),'Point Schedule'!$G$21,IF(AND(E34="Utility",G34="3rd"),'Point Schedule'!$G$22,IF(AND(E34="Utility",G34="4th"),'Point Schedule'!$G$23,0))))</f>
        <v>0</v>
      </c>
      <c r="T34" s="113">
        <f>IF(AND($E34="Ver",$G34="1st"),'Point Schedule'!$H$20,IF(AND($E34="Ver",$G34="2nd"),'Point Schedule'!$H$21,IF(AND($E34="Ver",$G34="3rd"),'Point Schedule'!$H$22,IF(AND($E34="Ver",$G34="4th"),'Point Schedule'!$H$23,0))))</f>
        <v>0</v>
      </c>
      <c r="U34" s="113">
        <f>IF(AND($E34="Pref Nov",$G34="1st"),'Point Schedule'!$C$64,IF(AND($E34="Pref Nov",$G34="2nd"),'Point Schedule'!$C$65,IF(AND($E34="Pref Nov",$G34="3rd"),'Point Schedule'!$C$66,IF(AND($E34="Pref Nov",$G34="4th"),'Point Schedule'!$C$67,0))))</f>
        <v>0</v>
      </c>
      <c r="V34" s="113">
        <f>IF(AND($E34="Pref Open",$G34="1st"),'Point Schedule'!$E$64,IF(AND($E34="Pref Open",$G34="2nd"),'Point Schedule'!$E$65,IF(AND($E34="Pref Open",$G34="3rd"),'Point Schedule'!$E$66,IF(AND($E34="Pref Open",$G34="4th"),'Point Schedule'!$E$67,0))))</f>
        <v>0</v>
      </c>
      <c r="W34" s="113">
        <f>IF(AND($E34="Pref Utility",$G34="1st"),'Point Schedule'!$G$64,IF(AND($E34="Pref Utility",$G34="2nd"),'Point Schedule'!$G$65,IF(AND($E34="Pref Utility",$G34="3rd"),'Point Schedule'!$G$66,IF(AND($E34="Pref Utility",$G34="4th"),'Point Schedule'!$G$67,0))))</f>
        <v>0</v>
      </c>
      <c r="X34" s="113">
        <f>IF(AND($E34="Pref Utility",$B34=$B35,NOT($E34=$E35),$J34="Yes"),'Point Schedule'!$C$72,0)</f>
        <v>0</v>
      </c>
      <c r="Y34" s="113">
        <f>IF(AND($E34="Beg. Nov.",$H34="Yes"),'Point Schedule'!$B$25,IF(AND($E34="Novice",$H34="Yes"),'Point Schedule'!$C$25,IF(AND($E34="Pref Nov",$H34="Yes"),'Point Schedule'!$C$69,IF(AND($E34="Grad Nov",$H34="Yes"),'Point Schedule'!$D$25,IF(AND($E34="Open",$H34="Yes"),'Point Schedule'!$E$25,IF(AND($E34="Pref Open",$H34="Yes"),'Point Schedule'!$E$69,IF(AND($E34="Grad Open",$H34="Yes"),'Point Schedule'!$F$25,IF(AND($E34="Ver",$H34="Yes"),'Point Schedule'!$H$25,IF(AND($E34="Utility",$H34="Yes"),'Point Schedule'!$G$25,IF(AND($E34="Pref Utility",$H34="Yes"),'Point Schedule'!$G$69,0))))))))))</f>
        <v>0</v>
      </c>
      <c r="Z34" s="113">
        <f>IF($I34&gt;=195,'Point Schedule'!$C$27,0)</f>
        <v>0</v>
      </c>
      <c r="AA34" s="96">
        <f>IF(AND($E34="Utility",$B34=$B35,NOT($E34=$E35),$J34="Yes"),'[1]Point Schedule'!$C$28,0)</f>
        <v>0</v>
      </c>
      <c r="AB34" s="113">
        <f>IF($K34="Yes",'Point Schedule'!$C$29,0)</f>
        <v>0</v>
      </c>
      <c r="AC34" s="113">
        <f>IF($L34="Yes",'Point Schedule'!$C$30,0)</f>
        <v>0</v>
      </c>
      <c r="AD34" s="114">
        <f>IF(M34="Yes",'Point Schedule'!$C$31,0)</f>
        <v>0</v>
      </c>
      <c r="AE34" s="122">
        <f t="shared" si="0"/>
        <v>0</v>
      </c>
      <c r="AF34" s="123">
        <f t="shared" si="1"/>
        <v>0</v>
      </c>
      <c r="AG34" s="761"/>
    </row>
    <row r="35" spans="1:33" ht="20.149999999999999" customHeight="1" x14ac:dyDescent="0.6">
      <c r="A35" s="387"/>
      <c r="B35" s="274"/>
      <c r="C35" s="772"/>
      <c r="D35" s="773"/>
      <c r="E35" s="275"/>
      <c r="F35" s="275"/>
      <c r="G35" s="275"/>
      <c r="H35" s="275"/>
      <c r="I35" s="275"/>
      <c r="J35" s="275"/>
      <c r="K35" s="275"/>
      <c r="L35" s="275"/>
      <c r="M35" s="275"/>
      <c r="N35" s="113">
        <f>IF(AND(E35="Beg. Nov.",G35="1st"),'Point Schedule'!$B$20,IF(AND(E35="Beg. Nov.",G35="2nd"),'Point Schedule'!$B$21,IF(AND(E35="Beg. Nov.",G35="3rd"),'Point Schedule'!$B$22,IF(AND(E35="Beg. Nov.",G35="4th"),'Point Schedule'!$B$23,0))))</f>
        <v>0</v>
      </c>
      <c r="O35" s="113">
        <f>IF(AND($E35="Novice",$G35="1st"),'Point Schedule'!$C$20,IF(AND($E35="Novice",$G35="2nd"),'Point Schedule'!$C$21,IF(AND($E35="Novice",$G35="3rd"),'Point Schedule'!$C$22,IF(AND($E35="Novice",$G35="4th"),'Point Schedule'!$C$23,0))))</f>
        <v>0</v>
      </c>
      <c r="P35" s="113">
        <f>IF(AND($E35="Grad Nov",$G35="1st"),'Point Schedule'!$D$20,IF(AND($E35="Grad Nov",$G35="2nd"),'Point Schedule'!$D$21,IF(AND($E35="Grad Nov",$G35="3rd"),'Point Schedule'!$D$22,IF(AND($E35="Grad Nov",$G35="4th"),'Point Schedule'!$D$23,0))))</f>
        <v>0</v>
      </c>
      <c r="Q35" s="113">
        <f>IF(AND(E35="Open",G35="1st"),'Point Schedule'!$E$20,IF(AND(E35="Open",G35="2nd"),'Point Schedule'!$E$21,IF(AND(E35="Open",G35="3rd"),'Point Schedule'!$E$22,IF(AND(E35="Open",G35="4th"),'Point Schedule'!$E$23,0))))</f>
        <v>0</v>
      </c>
      <c r="R35" s="113">
        <f>IF(AND($E35="Grad Open",$G35="1st"),'Point Schedule'!$F$20,IF(AND($E35="Grad Open",$G35="2nd"),'Point Schedule'!$F$21,IF(AND($E35="Grad Open",$G35="3rd"),'Point Schedule'!$F$22,IF(AND($E35="Grad Open",$G35="4th"),'Point Schedule'!$F$23,0))))</f>
        <v>0</v>
      </c>
      <c r="S35" s="113">
        <f>IF(AND(E35="Utility",G35="1st"),'Point Schedule'!$G$20,IF(AND(E35="Utility",G35="2nd"),'Point Schedule'!$G$21,IF(AND(E35="Utility",G35="3rd"),'Point Schedule'!$G$22,IF(AND(E35="Utility",G35="4th"),'Point Schedule'!$G$23,0))))</f>
        <v>0</v>
      </c>
      <c r="T35" s="113">
        <f>IF(AND($E35="Ver",$G35="1st"),'Point Schedule'!$H$20,IF(AND($E35="Ver",$G35="2nd"),'Point Schedule'!$H$21,IF(AND($E35="Ver",$G35="3rd"),'Point Schedule'!$H$22,IF(AND($E35="Ver",$G35="4th"),'Point Schedule'!$H$23,0))))</f>
        <v>0</v>
      </c>
      <c r="U35" s="113">
        <f>IF(AND($E35="Pref Nov",$G35="1st"),'Point Schedule'!$C$64,IF(AND($E35="Pref Nov",$G35="2nd"),'Point Schedule'!$C$65,IF(AND($E35="Pref Nov",$G35="3rd"),'Point Schedule'!$C$66,IF(AND($E35="Pref Nov",$G35="4th"),'Point Schedule'!$C$67,0))))</f>
        <v>0</v>
      </c>
      <c r="V35" s="113">
        <f>IF(AND($E35="Pref Open",$G35="1st"),'Point Schedule'!$E$64,IF(AND($E35="Pref Open",$G35="2nd"),'Point Schedule'!$E$65,IF(AND($E35="Pref Open",$G35="3rd"),'Point Schedule'!$E$66,IF(AND($E35="Pref Open",$G35="4th"),'Point Schedule'!$E$67,0))))</f>
        <v>0</v>
      </c>
      <c r="W35" s="113">
        <f>IF(AND($E35="Pref Utility",$G35="1st"),'Point Schedule'!$G$64,IF(AND($E35="Pref Utility",$G35="2nd"),'Point Schedule'!$G$65,IF(AND($E35="Pref Utility",$G35="3rd"),'Point Schedule'!$G$66,IF(AND($E35="Pref Utility",$G35="4th"),'Point Schedule'!$G$67,0))))</f>
        <v>0</v>
      </c>
      <c r="X35" s="113">
        <f>IF(AND($E35="Pref Utility",$B35=$B36,NOT($E35=$E36),$J35="Yes"),'Point Schedule'!$C$72,0)</f>
        <v>0</v>
      </c>
      <c r="Y35" s="113">
        <f>IF(AND($E35="Beg. Nov.",$H35="Yes"),'Point Schedule'!$B$25,IF(AND($E35="Novice",$H35="Yes"),'Point Schedule'!$C$25,IF(AND($E35="Pref Nov",$H35="Yes"),'Point Schedule'!$C$69,IF(AND($E35="Grad Nov",$H35="Yes"),'Point Schedule'!$D$25,IF(AND($E35="Open",$H35="Yes"),'Point Schedule'!$E$25,IF(AND($E35="Pref Open",$H35="Yes"),'Point Schedule'!$E$69,IF(AND($E35="Grad Open",$H35="Yes"),'Point Schedule'!$F$25,IF(AND($E35="Ver",$H35="Yes"),'Point Schedule'!$H$25,IF(AND($E35="Utility",$H35="Yes"),'Point Schedule'!$G$25,IF(AND($E35="Pref Utility",$H35="Yes"),'Point Schedule'!$G$69,0))))))))))</f>
        <v>0</v>
      </c>
      <c r="Z35" s="113">
        <f>IF($I35&gt;=195,'Point Schedule'!$C$27,0)</f>
        <v>0</v>
      </c>
      <c r="AA35" s="96">
        <f>IF(AND($E35="Utility",$B35=$B36,NOT($E35=$E36),$J35="Yes"),'[1]Point Schedule'!$C$28,0)</f>
        <v>0</v>
      </c>
      <c r="AB35" s="113">
        <f>IF($K35="Yes",'Point Schedule'!$C$29,0)</f>
        <v>0</v>
      </c>
      <c r="AC35" s="113">
        <f>IF($L35="Yes",'Point Schedule'!$C$30,0)</f>
        <v>0</v>
      </c>
      <c r="AD35" s="114">
        <f>IF(M35="Yes",'Point Schedule'!$C$31,0)</f>
        <v>0</v>
      </c>
      <c r="AE35" s="122">
        <f t="shared" si="0"/>
        <v>0</v>
      </c>
      <c r="AF35" s="123">
        <f t="shared" si="1"/>
        <v>0</v>
      </c>
      <c r="AG35" s="761"/>
    </row>
    <row r="36" spans="1:33" ht="20.149999999999999" customHeight="1" x14ac:dyDescent="0.6">
      <c r="A36" s="387"/>
      <c r="B36" s="274"/>
      <c r="C36" s="772"/>
      <c r="D36" s="773"/>
      <c r="E36" s="275"/>
      <c r="F36" s="275"/>
      <c r="G36" s="275"/>
      <c r="H36" s="275"/>
      <c r="I36" s="275"/>
      <c r="J36" s="275"/>
      <c r="K36" s="275"/>
      <c r="L36" s="275"/>
      <c r="M36" s="275"/>
      <c r="N36" s="113">
        <f>IF(AND(E36="Beg. Nov.",G36="1st"),'Point Schedule'!$B$20,IF(AND(E36="Beg. Nov.",G36="2nd"),'Point Schedule'!$B$21,IF(AND(E36="Beg. Nov.",G36="3rd"),'Point Schedule'!$B$22,IF(AND(E36="Beg. Nov.",G36="4th"),'Point Schedule'!$B$23,0))))</f>
        <v>0</v>
      </c>
      <c r="O36" s="113">
        <f>IF(AND($E36="Novice",$G36="1st"),'Point Schedule'!$C$20,IF(AND($E36="Novice",$G36="2nd"),'Point Schedule'!$C$21,IF(AND($E36="Novice",$G36="3rd"),'Point Schedule'!$C$22,IF(AND($E36="Novice",$G36="4th"),'Point Schedule'!$C$23,0))))</f>
        <v>0</v>
      </c>
      <c r="P36" s="113">
        <f>IF(AND($E36="Grad Nov",$G36="1st"),'Point Schedule'!$D$20,IF(AND($E36="Grad Nov",$G36="2nd"),'Point Schedule'!$D$21,IF(AND($E36="Grad Nov",$G36="3rd"),'Point Schedule'!$D$22,IF(AND($E36="Grad Nov",$G36="4th"),'Point Schedule'!$D$23,0))))</f>
        <v>0</v>
      </c>
      <c r="Q36" s="113">
        <f>IF(AND(E36="Open",G36="1st"),'Point Schedule'!$E$20,IF(AND(E36="Open",G36="2nd"),'Point Schedule'!$E$21,IF(AND(E36="Open",G36="3rd"),'Point Schedule'!$E$22,IF(AND(E36="Open",G36="4th"),'Point Schedule'!$E$23,0))))</f>
        <v>0</v>
      </c>
      <c r="R36" s="113">
        <f>IF(AND($E36="Grad Open",$G36="1st"),'Point Schedule'!$F$20,IF(AND($E36="Grad Open",$G36="2nd"),'Point Schedule'!$F$21,IF(AND($E36="Grad Open",$G36="3rd"),'Point Schedule'!$F$22,IF(AND($E36="Grad Open",$G36="4th"),'Point Schedule'!$F$23,0))))</f>
        <v>0</v>
      </c>
      <c r="S36" s="113">
        <f>IF(AND(E36="Utility",G36="1st"),'Point Schedule'!$G$20,IF(AND(E36="Utility",G36="2nd"),'Point Schedule'!$G$21,IF(AND(E36="Utility",G36="3rd"),'Point Schedule'!$G$22,IF(AND(E36="Utility",G36="4th"),'Point Schedule'!$G$23,0))))</f>
        <v>0</v>
      </c>
      <c r="T36" s="113">
        <f>IF(AND($E36="Ver",$G36="1st"),'Point Schedule'!$H$20,IF(AND($E36="Ver",$G36="2nd"),'Point Schedule'!$H$21,IF(AND($E36="Ver",$G36="3rd"),'Point Schedule'!$H$22,IF(AND($E36="Ver",$G36="4th"),'Point Schedule'!$H$23,0))))</f>
        <v>0</v>
      </c>
      <c r="U36" s="113">
        <f>IF(AND($E36="Pref Nov",$G36="1st"),'Point Schedule'!$C$64,IF(AND($E36="Pref Nov",$G36="2nd"),'Point Schedule'!$C$65,IF(AND($E36="Pref Nov",$G36="3rd"),'Point Schedule'!$C$66,IF(AND($E36="Pref Nov",$G36="4th"),'Point Schedule'!$C$67,0))))</f>
        <v>0</v>
      </c>
      <c r="V36" s="113">
        <f>IF(AND($E36="Pref Open",$G36="1st"),'Point Schedule'!$E$64,IF(AND($E36="Pref Open",$G36="2nd"),'Point Schedule'!$E$65,IF(AND($E36="Pref Open",$G36="3rd"),'Point Schedule'!$E$66,IF(AND($E36="Pref Open",$G36="4th"),'Point Schedule'!$E$67,0))))</f>
        <v>0</v>
      </c>
      <c r="W36" s="113">
        <f>IF(AND($E36="Pref Utility",$G36="1st"),'Point Schedule'!$G$64,IF(AND($E36="Pref Utility",$G36="2nd"),'Point Schedule'!$G$65,IF(AND($E36="Pref Utility",$G36="3rd"),'Point Schedule'!$G$66,IF(AND($E36="Pref Utility",$G36="4th"),'Point Schedule'!$G$67,0))))</f>
        <v>0</v>
      </c>
      <c r="X36" s="113">
        <f>IF(AND($E36="Pref Utility",$B36=$B37,NOT($E36=$E37),$J36="Yes"),'Point Schedule'!$C$72,0)</f>
        <v>0</v>
      </c>
      <c r="Y36" s="113">
        <f>IF(AND($E36="Beg. Nov.",$H36="Yes"),'Point Schedule'!$B$25,IF(AND($E36="Novice",$H36="Yes"),'Point Schedule'!$C$25,IF(AND($E36="Pref Nov",$H36="Yes"),'Point Schedule'!$C$69,IF(AND($E36="Grad Nov",$H36="Yes"),'Point Schedule'!$D$25,IF(AND($E36="Open",$H36="Yes"),'Point Schedule'!$E$25,IF(AND($E36="Pref Open",$H36="Yes"),'Point Schedule'!$E$69,IF(AND($E36="Grad Open",$H36="Yes"),'Point Schedule'!$F$25,IF(AND($E36="Ver",$H36="Yes"),'Point Schedule'!$H$25,IF(AND($E36="Utility",$H36="Yes"),'Point Schedule'!$G$25,IF(AND($E36="Pref Utility",$H36="Yes"),'Point Schedule'!$G$69,0))))))))))</f>
        <v>0</v>
      </c>
      <c r="Z36" s="113">
        <f>IF($I36&gt;=195,'Point Schedule'!$C$27,0)</f>
        <v>0</v>
      </c>
      <c r="AA36" s="96">
        <f>IF(AND($E36="Utility",$B36=$B37,NOT($E36=$E37),$J36="Yes"),'[1]Point Schedule'!$C$28,0)</f>
        <v>0</v>
      </c>
      <c r="AB36" s="113">
        <f>IF($K36="Yes",'Point Schedule'!$C$29,0)</f>
        <v>0</v>
      </c>
      <c r="AC36" s="113">
        <f>IF($L36="Yes",'Point Schedule'!$C$30,0)</f>
        <v>0</v>
      </c>
      <c r="AD36" s="114">
        <f>IF(M36="Yes",'Point Schedule'!$C$31,0)</f>
        <v>0</v>
      </c>
      <c r="AE36" s="122">
        <f t="shared" si="0"/>
        <v>0</v>
      </c>
      <c r="AF36" s="123">
        <f t="shared" si="1"/>
        <v>0</v>
      </c>
      <c r="AG36" s="761"/>
    </row>
    <row r="37" spans="1:33" ht="20.149999999999999" customHeight="1" x14ac:dyDescent="0.6">
      <c r="A37" s="387"/>
      <c r="B37" s="274"/>
      <c r="C37" s="772"/>
      <c r="D37" s="773"/>
      <c r="E37" s="275"/>
      <c r="F37" s="275"/>
      <c r="G37" s="275"/>
      <c r="H37" s="275"/>
      <c r="I37" s="275"/>
      <c r="J37" s="275"/>
      <c r="K37" s="275"/>
      <c r="L37" s="275"/>
      <c r="M37" s="275"/>
      <c r="N37" s="113">
        <f>IF(AND(E37="Beg. Nov.",G37="1st"),'Point Schedule'!$B$20,IF(AND(E37="Beg. Nov.",G37="2nd"),'Point Schedule'!$B$21,IF(AND(E37="Beg. Nov.",G37="3rd"),'Point Schedule'!$B$22,IF(AND(E37="Beg. Nov.",G37="4th"),'Point Schedule'!$B$23,0))))</f>
        <v>0</v>
      </c>
      <c r="O37" s="113">
        <f>IF(AND($E37="Novice",$G37="1st"),'Point Schedule'!$C$20,IF(AND($E37="Novice",$G37="2nd"),'Point Schedule'!$C$21,IF(AND($E37="Novice",$G37="3rd"),'Point Schedule'!$C$22,IF(AND($E37="Novice",$G37="4th"),'Point Schedule'!$C$23,0))))</f>
        <v>0</v>
      </c>
      <c r="P37" s="113">
        <f>IF(AND($E37="Grad Nov",$G37="1st"),'Point Schedule'!$D$20,IF(AND($E37="Grad Nov",$G37="2nd"),'Point Schedule'!$D$21,IF(AND($E37="Grad Nov",$G37="3rd"),'Point Schedule'!$D$22,IF(AND($E37="Grad Nov",$G37="4th"),'Point Schedule'!$D$23,0))))</f>
        <v>0</v>
      </c>
      <c r="Q37" s="113">
        <f>IF(AND(E37="Open",G37="1st"),'Point Schedule'!$E$20,IF(AND(E37="Open",G37="2nd"),'Point Schedule'!$E$21,IF(AND(E37="Open",G37="3rd"),'Point Schedule'!$E$22,IF(AND(E37="Open",G37="4th"),'Point Schedule'!$E$23,0))))</f>
        <v>0</v>
      </c>
      <c r="R37" s="113">
        <f>IF(AND($E37="Grad Open",$G37="1st"),'Point Schedule'!$F$20,IF(AND($E37="Grad Open",$G37="2nd"),'Point Schedule'!$F$21,IF(AND($E37="Grad Open",$G37="3rd"),'Point Schedule'!$F$22,IF(AND($E37="Grad Open",$G37="4th"),'Point Schedule'!$F$23,0))))</f>
        <v>0</v>
      </c>
      <c r="S37" s="113">
        <f>IF(AND(E37="Utility",G37="1st"),'Point Schedule'!$G$20,IF(AND(E37="Utility",G37="2nd"),'Point Schedule'!$G$21,IF(AND(E37="Utility",G37="3rd"),'Point Schedule'!$G$22,IF(AND(E37="Utility",G37="4th"),'Point Schedule'!$G$23,0))))</f>
        <v>0</v>
      </c>
      <c r="T37" s="113">
        <f>IF(AND($E37="Ver",$G37="1st"),'Point Schedule'!$H$20,IF(AND($E37="Ver",$G37="2nd"),'Point Schedule'!$H$21,IF(AND($E37="Ver",$G37="3rd"),'Point Schedule'!$H$22,IF(AND($E37="Ver",$G37="4th"),'Point Schedule'!$H$23,0))))</f>
        <v>0</v>
      </c>
      <c r="U37" s="113">
        <f>IF(AND($E37="Pref Nov",$G37="1st"),'Point Schedule'!$C$64,IF(AND($E37="Pref Nov",$G37="2nd"),'Point Schedule'!$C$65,IF(AND($E37="Pref Nov",$G37="3rd"),'Point Schedule'!$C$66,IF(AND($E37="Pref Nov",$G37="4th"),'Point Schedule'!$C$67,0))))</f>
        <v>0</v>
      </c>
      <c r="V37" s="113">
        <f>IF(AND($E37="Pref Open",$G37="1st"),'Point Schedule'!$E$64,IF(AND($E37="Pref Open",$G37="2nd"),'Point Schedule'!$E$65,IF(AND($E37="Pref Open",$G37="3rd"),'Point Schedule'!$E$66,IF(AND($E37="Pref Open",$G37="4th"),'Point Schedule'!$E$67,0))))</f>
        <v>0</v>
      </c>
      <c r="W37" s="113">
        <f>IF(AND($E37="Pref Utility",$G37="1st"),'Point Schedule'!$G$64,IF(AND($E37="Pref Utility",$G37="2nd"),'Point Schedule'!$G$65,IF(AND($E37="Pref Utility",$G37="3rd"),'Point Schedule'!$G$66,IF(AND($E37="Pref Utility",$G37="4th"),'Point Schedule'!$G$67,0))))</f>
        <v>0</v>
      </c>
      <c r="X37" s="113">
        <f>IF(AND($E37="Pref Utility",$B37=$B38,NOT($E37=$E38),$J37="Yes"),'Point Schedule'!$C$72,0)</f>
        <v>0</v>
      </c>
      <c r="Y37" s="113">
        <f>IF(AND($E37="Beg. Nov.",$H37="Yes"),'Point Schedule'!$B$25,IF(AND($E37="Novice",$H37="Yes"),'Point Schedule'!$C$25,IF(AND($E37="Pref Nov",$H37="Yes"),'Point Schedule'!$C$69,IF(AND($E37="Grad Nov",$H37="Yes"),'Point Schedule'!$D$25,IF(AND($E37="Open",$H37="Yes"),'Point Schedule'!$E$25,IF(AND($E37="Pref Open",$H37="Yes"),'Point Schedule'!$E$69,IF(AND($E37="Grad Open",$H37="Yes"),'Point Schedule'!$F$25,IF(AND($E37="Ver",$H37="Yes"),'Point Schedule'!$H$25,IF(AND($E37="Utility",$H37="Yes"),'Point Schedule'!$G$25,IF(AND($E37="Pref Utility",$H37="Yes"),'Point Schedule'!$G$69,0))))))))))</f>
        <v>0</v>
      </c>
      <c r="Z37" s="113">
        <f>IF($I37&gt;=195,'Point Schedule'!$C$27,0)</f>
        <v>0</v>
      </c>
      <c r="AA37" s="96">
        <f>IF(AND($E37="Utility",$B37=$B38,NOT($E37=$E38),$J37="Yes"),'[1]Point Schedule'!$C$28,0)</f>
        <v>0</v>
      </c>
      <c r="AB37" s="113">
        <f>IF($K37="Yes",'Point Schedule'!$C$29,0)</f>
        <v>0</v>
      </c>
      <c r="AC37" s="113">
        <f>IF($L37="Yes",'Point Schedule'!$C$30,0)</f>
        <v>0</v>
      </c>
      <c r="AD37" s="114">
        <f>IF(M37="Yes",'Point Schedule'!$C$31,0)</f>
        <v>0</v>
      </c>
      <c r="AE37" s="122">
        <f t="shared" si="0"/>
        <v>0</v>
      </c>
      <c r="AF37" s="123">
        <f t="shared" si="1"/>
        <v>0</v>
      </c>
      <c r="AG37" s="761"/>
    </row>
    <row r="38" spans="1:33" ht="20.149999999999999" customHeight="1" x14ac:dyDescent="0.6">
      <c r="A38" s="387"/>
      <c r="B38" s="274"/>
      <c r="C38" s="772"/>
      <c r="D38" s="773"/>
      <c r="E38" s="275"/>
      <c r="F38" s="275"/>
      <c r="G38" s="275"/>
      <c r="H38" s="275"/>
      <c r="I38" s="275"/>
      <c r="J38" s="275"/>
      <c r="K38" s="275"/>
      <c r="L38" s="275"/>
      <c r="M38" s="275"/>
      <c r="N38" s="113">
        <f>IF(AND(E38="Beg. Nov.",G38="1st"),'Point Schedule'!$B$20,IF(AND(E38="Beg. Nov.",G38="2nd"),'Point Schedule'!$B$21,IF(AND(E38="Beg. Nov.",G38="3rd"),'Point Schedule'!$B$22,IF(AND(E38="Beg. Nov.",G38="4th"),'Point Schedule'!$B$23,0))))</f>
        <v>0</v>
      </c>
      <c r="O38" s="113">
        <f>IF(AND($E38="Novice",$G38="1st"),'Point Schedule'!$C$20,IF(AND($E38="Novice",$G38="2nd"),'Point Schedule'!$C$21,IF(AND($E38="Novice",$G38="3rd"),'Point Schedule'!$C$22,IF(AND($E38="Novice",$G38="4th"),'Point Schedule'!$C$23,0))))</f>
        <v>0</v>
      </c>
      <c r="P38" s="113">
        <f>IF(AND($E38="Grad Nov",$G38="1st"),'Point Schedule'!$D$20,IF(AND($E38="Grad Nov",$G38="2nd"),'Point Schedule'!$D$21,IF(AND($E38="Grad Nov",$G38="3rd"),'Point Schedule'!$D$22,IF(AND($E38="Grad Nov",$G38="4th"),'Point Schedule'!$D$23,0))))</f>
        <v>0</v>
      </c>
      <c r="Q38" s="113">
        <f>IF(AND(E38="Open",G38="1st"),'Point Schedule'!$E$20,IF(AND(E38="Open",G38="2nd"),'Point Schedule'!$E$21,IF(AND(E38="Open",G38="3rd"),'Point Schedule'!$E$22,IF(AND(E38="Open",G38="4th"),'Point Schedule'!$E$23,0))))</f>
        <v>0</v>
      </c>
      <c r="R38" s="113">
        <f>IF(AND($E38="Grad Open",$G38="1st"),'Point Schedule'!$F$20,IF(AND($E38="Grad Open",$G38="2nd"),'Point Schedule'!$F$21,IF(AND($E38="Grad Open",$G38="3rd"),'Point Schedule'!$F$22,IF(AND($E38="Grad Open",$G38="4th"),'Point Schedule'!$F$23,0))))</f>
        <v>0</v>
      </c>
      <c r="S38" s="113">
        <f>IF(AND(E38="Utility",G38="1st"),'Point Schedule'!$G$20,IF(AND(E38="Utility",G38="2nd"),'Point Schedule'!$G$21,IF(AND(E38="Utility",G38="3rd"),'Point Schedule'!$G$22,IF(AND(E38="Utility",G38="4th"),'Point Schedule'!$G$23,0))))</f>
        <v>0</v>
      </c>
      <c r="T38" s="113">
        <f>IF(AND($E38="Ver",$G38="1st"),'Point Schedule'!$H$20,IF(AND($E38="Ver",$G38="2nd"),'Point Schedule'!$H$21,IF(AND($E38="Ver",$G38="3rd"),'Point Schedule'!$H$22,IF(AND($E38="Ver",$G38="4th"),'Point Schedule'!$H$23,0))))</f>
        <v>0</v>
      </c>
      <c r="U38" s="113">
        <f>IF(AND($E38="Pref Nov",$G38="1st"),'Point Schedule'!$C$64,IF(AND($E38="Pref Nov",$G38="2nd"),'Point Schedule'!$C$65,IF(AND($E38="Pref Nov",$G38="3rd"),'Point Schedule'!$C$66,IF(AND($E38="Pref Nov",$G38="4th"),'Point Schedule'!$C$67,0))))</f>
        <v>0</v>
      </c>
      <c r="V38" s="113">
        <f>IF(AND($E38="Pref Open",$G38="1st"),'Point Schedule'!$E$64,IF(AND($E38="Pref Open",$G38="2nd"),'Point Schedule'!$E$65,IF(AND($E38="Pref Open",$G38="3rd"),'Point Schedule'!$E$66,IF(AND($E38="Pref Open",$G38="4th"),'Point Schedule'!$E$67,0))))</f>
        <v>0</v>
      </c>
      <c r="W38" s="113">
        <f>IF(AND($E38="Pref Utility",$G38="1st"),'Point Schedule'!$G$64,IF(AND($E38="Pref Utility",$G38="2nd"),'Point Schedule'!$G$65,IF(AND($E38="Pref Utility",$G38="3rd"),'Point Schedule'!$G$66,IF(AND($E38="Pref Utility",$G38="4th"),'Point Schedule'!$G$67,0))))</f>
        <v>0</v>
      </c>
      <c r="X38" s="113">
        <f>IF(AND($E38="Pref Utility",$B38=$B39,NOT($E38=$E39),$J38="Yes"),'Point Schedule'!$C$72,0)</f>
        <v>0</v>
      </c>
      <c r="Y38" s="113">
        <f>IF(AND($E38="Beg. Nov.",$H38="Yes"),'Point Schedule'!$B$25,IF(AND($E38="Novice",$H38="Yes"),'Point Schedule'!$C$25,IF(AND($E38="Pref Nov",$H38="Yes"),'Point Schedule'!$C$69,IF(AND($E38="Grad Nov",$H38="Yes"),'Point Schedule'!$D$25,IF(AND($E38="Open",$H38="Yes"),'Point Schedule'!$E$25,IF(AND($E38="Pref Open",$H38="Yes"),'Point Schedule'!$E$69,IF(AND($E38="Grad Open",$H38="Yes"),'Point Schedule'!$F$25,IF(AND($E38="Ver",$H38="Yes"),'Point Schedule'!$H$25,IF(AND($E38="Utility",$H38="Yes"),'Point Schedule'!$G$25,IF(AND($E38="Pref Utility",$H38="Yes"),'Point Schedule'!$G$69,0))))))))))</f>
        <v>0</v>
      </c>
      <c r="Z38" s="113">
        <f>IF($I38&gt;=195,'Point Schedule'!$C$27,0)</f>
        <v>0</v>
      </c>
      <c r="AA38" s="96">
        <f>IF(AND($E38="Utility",$B38=$B39,NOT($E38=$E39),$J38="Yes"),'[1]Point Schedule'!$C$28,0)</f>
        <v>0</v>
      </c>
      <c r="AB38" s="113">
        <f>IF($K38="Yes",'Point Schedule'!$C$29,0)</f>
        <v>0</v>
      </c>
      <c r="AC38" s="113">
        <f>IF($L38="Yes",'Point Schedule'!$C$30,0)</f>
        <v>0</v>
      </c>
      <c r="AD38" s="114">
        <f>IF(M38="Yes",'Point Schedule'!$C$31,0)</f>
        <v>0</v>
      </c>
      <c r="AE38" s="122">
        <f t="shared" si="0"/>
        <v>0</v>
      </c>
      <c r="AF38" s="123">
        <f t="shared" si="1"/>
        <v>0</v>
      </c>
      <c r="AG38" s="761"/>
    </row>
    <row r="39" spans="1:33" ht="20.149999999999999" customHeight="1" x14ac:dyDescent="0.6">
      <c r="A39" s="387"/>
      <c r="B39" s="274"/>
      <c r="C39" s="772"/>
      <c r="D39" s="773"/>
      <c r="E39" s="275"/>
      <c r="F39" s="275"/>
      <c r="G39" s="275"/>
      <c r="H39" s="275"/>
      <c r="I39" s="275"/>
      <c r="J39" s="275"/>
      <c r="K39" s="275"/>
      <c r="L39" s="275"/>
      <c r="M39" s="275"/>
      <c r="N39" s="113">
        <f>IF(AND(E39="Beg. Nov.",G39="1st"),'Point Schedule'!$B$20,IF(AND(E39="Beg. Nov.",G39="2nd"),'Point Schedule'!$B$21,IF(AND(E39="Beg. Nov.",G39="3rd"),'Point Schedule'!$B$22,IF(AND(E39="Beg. Nov.",G39="4th"),'Point Schedule'!$B$23,0))))</f>
        <v>0</v>
      </c>
      <c r="O39" s="113">
        <f>IF(AND($E39="Novice",$G39="1st"),'Point Schedule'!$C$20,IF(AND($E39="Novice",$G39="2nd"),'Point Schedule'!$C$21,IF(AND($E39="Novice",$G39="3rd"),'Point Schedule'!$C$22,IF(AND($E39="Novice",$G39="4th"),'Point Schedule'!$C$23,0))))</f>
        <v>0</v>
      </c>
      <c r="P39" s="113">
        <f>IF(AND($E39="Grad Nov",$G39="1st"),'Point Schedule'!$D$20,IF(AND($E39="Grad Nov",$G39="2nd"),'Point Schedule'!$D$21,IF(AND($E39="Grad Nov",$G39="3rd"),'Point Schedule'!$D$22,IF(AND($E39="Grad Nov",$G39="4th"),'Point Schedule'!$D$23,0))))</f>
        <v>0</v>
      </c>
      <c r="Q39" s="113">
        <f>IF(AND(E39="Open",G39="1st"),'Point Schedule'!$E$20,IF(AND(E39="Open",G39="2nd"),'Point Schedule'!$E$21,IF(AND(E39="Open",G39="3rd"),'Point Schedule'!$E$22,IF(AND(E39="Open",G39="4th"),'Point Schedule'!$E$23,0))))</f>
        <v>0</v>
      </c>
      <c r="R39" s="113">
        <f>IF(AND($E39="Grad Open",$G39="1st"),'Point Schedule'!$F$20,IF(AND($E39="Grad Open",$G39="2nd"),'Point Schedule'!$F$21,IF(AND($E39="Grad Open",$G39="3rd"),'Point Schedule'!$F$22,IF(AND($E39="Grad Open",$G39="4th"),'Point Schedule'!$F$23,0))))</f>
        <v>0</v>
      </c>
      <c r="S39" s="113">
        <f>IF(AND(E39="Utility",G39="1st"),'Point Schedule'!$G$20,IF(AND(E39="Utility",G39="2nd"),'Point Schedule'!$G$21,IF(AND(E39="Utility",G39="3rd"),'Point Schedule'!$G$22,IF(AND(E39="Utility",G39="4th"),'Point Schedule'!$G$23,0))))</f>
        <v>0</v>
      </c>
      <c r="T39" s="113">
        <f>IF(AND($E39="Ver",$G39="1st"),'Point Schedule'!$H$20,IF(AND($E39="Ver",$G39="2nd"),'Point Schedule'!$H$21,IF(AND($E39="Ver",$G39="3rd"),'Point Schedule'!$H$22,IF(AND($E39="Ver",$G39="4th"),'Point Schedule'!$H$23,0))))</f>
        <v>0</v>
      </c>
      <c r="U39" s="113">
        <f>IF(AND($E39="Pref Nov",$G39="1st"),'Point Schedule'!$C$64,IF(AND($E39="Pref Nov",$G39="2nd"),'Point Schedule'!$C$65,IF(AND($E39="Pref Nov",$G39="3rd"),'Point Schedule'!$C$66,IF(AND($E39="Pref Nov",$G39="4th"),'Point Schedule'!$C$67,0))))</f>
        <v>0</v>
      </c>
      <c r="V39" s="113">
        <f>IF(AND($E39="Pref Open",$G39="1st"),'Point Schedule'!$E$64,IF(AND($E39="Pref Open",$G39="2nd"),'Point Schedule'!$E$65,IF(AND($E39="Pref Open",$G39="3rd"),'Point Schedule'!$E$66,IF(AND($E39="Pref Open",$G39="4th"),'Point Schedule'!$E$67,0))))</f>
        <v>0</v>
      </c>
      <c r="W39" s="113">
        <f>IF(AND($E39="Pref Utility",$G39="1st"),'Point Schedule'!$G$64,IF(AND($E39="Pref Utility",$G39="2nd"),'Point Schedule'!$G$65,IF(AND($E39="Pref Utility",$G39="3rd"),'Point Schedule'!$G$66,IF(AND($E39="Pref Utility",$G39="4th"),'Point Schedule'!$G$67,0))))</f>
        <v>0</v>
      </c>
      <c r="X39" s="113">
        <f>IF(AND($E39="Pref Utility",$B39=$B40,NOT($E39=$E40),$J39="Yes"),'Point Schedule'!$C$72,0)</f>
        <v>0</v>
      </c>
      <c r="Y39" s="113">
        <f>IF(AND($E39="Beg. Nov.",$H39="Yes"),'Point Schedule'!$B$25,IF(AND($E39="Novice",$H39="Yes"),'Point Schedule'!$C$25,IF(AND($E39="Pref Nov",$H39="Yes"),'Point Schedule'!$C$69,IF(AND($E39="Grad Nov",$H39="Yes"),'Point Schedule'!$D$25,IF(AND($E39="Open",$H39="Yes"),'Point Schedule'!$E$25,IF(AND($E39="Pref Open",$H39="Yes"),'Point Schedule'!$E$69,IF(AND($E39="Grad Open",$H39="Yes"),'Point Schedule'!$F$25,IF(AND($E39="Ver",$H39="Yes"),'Point Schedule'!$H$25,IF(AND($E39="Utility",$H39="Yes"),'Point Schedule'!$G$25,IF(AND($E39="Pref Utility",$H39="Yes"),'Point Schedule'!$G$69,0))))))))))</f>
        <v>0</v>
      </c>
      <c r="Z39" s="113">
        <f>IF($I39&gt;=195,'Point Schedule'!$C$27,0)</f>
        <v>0</v>
      </c>
      <c r="AA39" s="96">
        <f>IF(AND($E39="Utility",$B39=$B40,NOT($E39=$E40),$J39="Yes"),'[1]Point Schedule'!$C$28,0)</f>
        <v>0</v>
      </c>
      <c r="AB39" s="113">
        <f>IF($K39="Yes",'Point Schedule'!$C$29,0)</f>
        <v>0</v>
      </c>
      <c r="AC39" s="113">
        <f>IF($L39="Yes",'Point Schedule'!$C$30,0)</f>
        <v>0</v>
      </c>
      <c r="AD39" s="114">
        <f>IF(M39="Yes",'Point Schedule'!$C$31,0)</f>
        <v>0</v>
      </c>
      <c r="AE39" s="122">
        <f t="shared" si="0"/>
        <v>0</v>
      </c>
      <c r="AF39" s="123">
        <f t="shared" si="1"/>
        <v>0</v>
      </c>
      <c r="AG39" s="761"/>
    </row>
    <row r="40" spans="1:33" ht="20.149999999999999" customHeight="1" x14ac:dyDescent="0.6">
      <c r="A40" s="387"/>
      <c r="B40" s="274"/>
      <c r="C40" s="772"/>
      <c r="D40" s="773"/>
      <c r="E40" s="275"/>
      <c r="F40" s="275"/>
      <c r="G40" s="275"/>
      <c r="H40" s="275"/>
      <c r="I40" s="275"/>
      <c r="J40" s="275"/>
      <c r="K40" s="275"/>
      <c r="L40" s="275"/>
      <c r="M40" s="275"/>
      <c r="N40" s="113">
        <f>IF(AND(E40="Beg. Nov.",G40="1st"),'Point Schedule'!$B$20,IF(AND(E40="Beg. Nov.",G40="2nd"),'Point Schedule'!$B$21,IF(AND(E40="Beg. Nov.",G40="3rd"),'Point Schedule'!$B$22,IF(AND(E40="Beg. Nov.",G40="4th"),'Point Schedule'!$B$23,0))))</f>
        <v>0</v>
      </c>
      <c r="O40" s="113">
        <f>IF(AND($E40="Novice",$G40="1st"),'Point Schedule'!$C$20,IF(AND($E40="Novice",$G40="2nd"),'Point Schedule'!$C$21,IF(AND($E40="Novice",$G40="3rd"),'Point Schedule'!$C$22,IF(AND($E40="Novice",$G40="4th"),'Point Schedule'!$C$23,0))))</f>
        <v>0</v>
      </c>
      <c r="P40" s="113">
        <f>IF(AND($E40="Grad Nov",$G40="1st"),'Point Schedule'!$D$20,IF(AND($E40="Grad Nov",$G40="2nd"),'Point Schedule'!$D$21,IF(AND($E40="Grad Nov",$G40="3rd"),'Point Schedule'!$D$22,IF(AND($E40="Grad Nov",$G40="4th"),'Point Schedule'!$D$23,0))))</f>
        <v>0</v>
      </c>
      <c r="Q40" s="113">
        <f>IF(AND(E40="Open",G40="1st"),'Point Schedule'!$E$20,IF(AND(E40="Open",G40="2nd"),'Point Schedule'!$E$21,IF(AND(E40="Open",G40="3rd"),'Point Schedule'!$E$22,IF(AND(E40="Open",G40="4th"),'Point Schedule'!$E$23,0))))</f>
        <v>0</v>
      </c>
      <c r="R40" s="113">
        <f>IF(AND($E40="Grad Open",$G40="1st"),'Point Schedule'!$F$20,IF(AND($E40="Grad Open",$G40="2nd"),'Point Schedule'!$F$21,IF(AND($E40="Grad Open",$G40="3rd"),'Point Schedule'!$F$22,IF(AND($E40="Grad Open",$G40="4th"),'Point Schedule'!$F$23,0))))</f>
        <v>0</v>
      </c>
      <c r="S40" s="113">
        <f>IF(AND(E40="Utility",G40="1st"),'Point Schedule'!$G$20,IF(AND(E40="Utility",G40="2nd"),'Point Schedule'!$G$21,IF(AND(E40="Utility",G40="3rd"),'Point Schedule'!$G$22,IF(AND(E40="Utility",G40="4th"),'Point Schedule'!$G$23,0))))</f>
        <v>0</v>
      </c>
      <c r="T40" s="113">
        <f>IF(AND($E40="Ver",$G40="1st"),'Point Schedule'!$H$20,IF(AND($E40="Ver",$G40="2nd"),'Point Schedule'!$H$21,IF(AND($E40="Ver",$G40="3rd"),'Point Schedule'!$H$22,IF(AND($E40="Ver",$G40="4th"),'Point Schedule'!$H$23,0))))</f>
        <v>0</v>
      </c>
      <c r="U40" s="113">
        <f>IF(AND($E40="Pref Nov",$G40="1st"),'Point Schedule'!$C$64,IF(AND($E40="Pref Nov",$G40="2nd"),'Point Schedule'!$C$65,IF(AND($E40="Pref Nov",$G40="3rd"),'Point Schedule'!$C$66,IF(AND($E40="Pref Nov",$G40="4th"),'Point Schedule'!$C$67,0))))</f>
        <v>0</v>
      </c>
      <c r="V40" s="113">
        <f>IF(AND($E40="Pref Open",$G40="1st"),'Point Schedule'!$E$64,IF(AND($E40="Pref Open",$G40="2nd"),'Point Schedule'!$E$65,IF(AND($E40="Pref Open",$G40="3rd"),'Point Schedule'!$E$66,IF(AND($E40="Pref Open",$G40="4th"),'Point Schedule'!$E$67,0))))</f>
        <v>0</v>
      </c>
      <c r="W40" s="113">
        <f>IF(AND($E40="Pref Utility",$G40="1st"),'Point Schedule'!$G$64,IF(AND($E40="Pref Utility",$G40="2nd"),'Point Schedule'!$G$65,IF(AND($E40="Pref Utility",$G40="3rd"),'Point Schedule'!$G$66,IF(AND($E40="Pref Utility",$G40="4th"),'Point Schedule'!$G$67,0))))</f>
        <v>0</v>
      </c>
      <c r="X40" s="113">
        <f>IF(AND($E40="Pref Utility",$B40=$B41,NOT($E40=$E41),$J40="Yes"),'Point Schedule'!$C$72,0)</f>
        <v>0</v>
      </c>
      <c r="Y40" s="113">
        <f>IF(AND($E40="Beg. Nov.",$H40="Yes"),'Point Schedule'!$B$25,IF(AND($E40="Novice",$H40="Yes"),'Point Schedule'!$C$25,IF(AND($E40="Pref Nov",$H40="Yes"),'Point Schedule'!$C$69,IF(AND($E40="Grad Nov",$H40="Yes"),'Point Schedule'!$D$25,IF(AND($E40="Open",$H40="Yes"),'Point Schedule'!$E$25,IF(AND($E40="Pref Open",$H40="Yes"),'Point Schedule'!$E$69,IF(AND($E40="Grad Open",$H40="Yes"),'Point Schedule'!$F$25,IF(AND($E40="Ver",$H40="Yes"),'Point Schedule'!$H$25,IF(AND($E40="Utility",$H40="Yes"),'Point Schedule'!$G$25,IF(AND($E40="Pref Utility",$H40="Yes"),'Point Schedule'!$G$69,0))))))))))</f>
        <v>0</v>
      </c>
      <c r="Z40" s="113">
        <f>IF($I40&gt;=195,'Point Schedule'!$C$27,0)</f>
        <v>0</v>
      </c>
      <c r="AA40" s="96">
        <f>IF(AND($E40="Utility",$B40=$B41,NOT($E40=$E41),$J40="Yes"),'[1]Point Schedule'!$C$28,0)</f>
        <v>0</v>
      </c>
      <c r="AB40" s="113">
        <f>IF($K40="Yes",'Point Schedule'!$C$29,0)</f>
        <v>0</v>
      </c>
      <c r="AC40" s="113">
        <f>IF($L40="Yes",'Point Schedule'!$C$30,0)</f>
        <v>0</v>
      </c>
      <c r="AD40" s="114">
        <f>IF(M40="Yes",'Point Schedule'!$C$31,0)</f>
        <v>0</v>
      </c>
      <c r="AE40" s="122">
        <f t="shared" si="0"/>
        <v>0</v>
      </c>
      <c r="AF40" s="123">
        <f t="shared" si="1"/>
        <v>0</v>
      </c>
      <c r="AG40" s="761"/>
    </row>
    <row r="41" spans="1:33" ht="20.149999999999999" customHeight="1" x14ac:dyDescent="0.6">
      <c r="A41" s="387"/>
      <c r="B41" s="274"/>
      <c r="C41" s="772"/>
      <c r="D41" s="773"/>
      <c r="E41" s="275"/>
      <c r="F41" s="275"/>
      <c r="G41" s="275"/>
      <c r="H41" s="275"/>
      <c r="I41" s="275"/>
      <c r="J41" s="275"/>
      <c r="K41" s="275"/>
      <c r="L41" s="275"/>
      <c r="M41" s="275"/>
      <c r="N41" s="113">
        <f>IF(AND(E41="Beg. Nov.",G41="1st"),'Point Schedule'!$B$20,IF(AND(E41="Beg. Nov.",G41="2nd"),'Point Schedule'!$B$21,IF(AND(E41="Beg. Nov.",G41="3rd"),'Point Schedule'!$B$22,IF(AND(E41="Beg. Nov.",G41="4th"),'Point Schedule'!$B$23,0))))</f>
        <v>0</v>
      </c>
      <c r="O41" s="113">
        <f>IF(AND($E41="Novice",$G41="1st"),'Point Schedule'!$C$20,IF(AND($E41="Novice",$G41="2nd"),'Point Schedule'!$C$21,IF(AND($E41="Novice",$G41="3rd"),'Point Schedule'!$C$22,IF(AND($E41="Novice",$G41="4th"),'Point Schedule'!$C$23,0))))</f>
        <v>0</v>
      </c>
      <c r="P41" s="113">
        <f>IF(AND($E41="Grad Nov",$G41="1st"),'Point Schedule'!$D$20,IF(AND($E41="Grad Nov",$G41="2nd"),'Point Schedule'!$D$21,IF(AND($E41="Grad Nov",$G41="3rd"),'Point Schedule'!$D$22,IF(AND($E41="Grad Nov",$G41="4th"),'Point Schedule'!$D$23,0))))</f>
        <v>0</v>
      </c>
      <c r="Q41" s="113">
        <f>IF(AND(E41="Open",G41="1st"),'Point Schedule'!$E$20,IF(AND(E41="Open",G41="2nd"),'Point Schedule'!$E$21,IF(AND(E41="Open",G41="3rd"),'Point Schedule'!$E$22,IF(AND(E41="Open",G41="4th"),'Point Schedule'!$E$23,0))))</f>
        <v>0</v>
      </c>
      <c r="R41" s="113">
        <f>IF(AND($E41="Grad Open",$G41="1st"),'Point Schedule'!$F$20,IF(AND($E41="Grad Open",$G41="2nd"),'Point Schedule'!$F$21,IF(AND($E41="Grad Open",$G41="3rd"),'Point Schedule'!$F$22,IF(AND($E41="Grad Open",$G41="4th"),'Point Schedule'!$F$23,0))))</f>
        <v>0</v>
      </c>
      <c r="S41" s="113">
        <f>IF(AND(E41="Utility",G41="1st"),'Point Schedule'!$G$20,IF(AND(E41="Utility",G41="2nd"),'Point Schedule'!$G$21,IF(AND(E41="Utility",G41="3rd"),'Point Schedule'!$G$22,IF(AND(E41="Utility",G41="4th"),'Point Schedule'!$G$23,0))))</f>
        <v>0</v>
      </c>
      <c r="T41" s="113">
        <f>IF(AND($E41="Ver",$G41="1st"),'Point Schedule'!$H$20,IF(AND($E41="Ver",$G41="2nd"),'Point Schedule'!$H$21,IF(AND($E41="Ver",$G41="3rd"),'Point Schedule'!$H$22,IF(AND($E41="Ver",$G41="4th"),'Point Schedule'!$H$23,0))))</f>
        <v>0</v>
      </c>
      <c r="U41" s="113">
        <f>IF(AND($E41="Pref Nov",$G41="1st"),'Point Schedule'!$C$64,IF(AND($E41="Pref Nov",$G41="2nd"),'Point Schedule'!$C$65,IF(AND($E41="Pref Nov",$G41="3rd"),'Point Schedule'!$C$66,IF(AND($E41="Pref Nov",$G41="4th"),'Point Schedule'!$C$67,0))))</f>
        <v>0</v>
      </c>
      <c r="V41" s="113">
        <f>IF(AND($E41="Pref Open",$G41="1st"),'Point Schedule'!$E$64,IF(AND($E41="Pref Open",$G41="2nd"),'Point Schedule'!$E$65,IF(AND($E41="Pref Open",$G41="3rd"),'Point Schedule'!$E$66,IF(AND($E41="Pref Open",$G41="4th"),'Point Schedule'!$E$67,0))))</f>
        <v>0</v>
      </c>
      <c r="W41" s="113">
        <f>IF(AND($E41="Pref Utility",$G41="1st"),'Point Schedule'!$G$64,IF(AND($E41="Pref Utility",$G41="2nd"),'Point Schedule'!$G$65,IF(AND($E41="Pref Utility",$G41="3rd"),'Point Schedule'!$G$66,IF(AND($E41="Pref Utility",$G41="4th"),'Point Schedule'!$G$67,0))))</f>
        <v>0</v>
      </c>
      <c r="X41" s="113">
        <f>IF(AND($E41="Pref Utility",$B41=$B42,NOT($E41=$E42),$J41="Yes"),'Point Schedule'!$C$72,0)</f>
        <v>0</v>
      </c>
      <c r="Y41" s="113">
        <f>IF(AND($E41="Beg. Nov.",$H41="Yes"),'Point Schedule'!$B$25,IF(AND($E41="Novice",$H41="Yes"),'Point Schedule'!$C$25,IF(AND($E41="Pref Nov",$H41="Yes"),'Point Schedule'!$C$69,IF(AND($E41="Grad Nov",$H41="Yes"),'Point Schedule'!$D$25,IF(AND($E41="Open",$H41="Yes"),'Point Schedule'!$E$25,IF(AND($E41="Pref Open",$H41="Yes"),'Point Schedule'!$E$69,IF(AND($E41="Grad Open",$H41="Yes"),'Point Schedule'!$F$25,IF(AND($E41="Ver",$H41="Yes"),'Point Schedule'!$H$25,IF(AND($E41="Utility",$H41="Yes"),'Point Schedule'!$G$25,IF(AND($E41="Pref Utility",$H41="Yes"),'Point Schedule'!$G$69,0))))))))))</f>
        <v>0</v>
      </c>
      <c r="Z41" s="113">
        <f>IF($I41&gt;=195,'Point Schedule'!$C$27,0)</f>
        <v>0</v>
      </c>
      <c r="AA41" s="96">
        <f>IF(AND($E41="Utility",$B41=$B42,NOT($E41=$E42),$J41="Yes"),'[1]Point Schedule'!$C$28,0)</f>
        <v>0</v>
      </c>
      <c r="AB41" s="113">
        <f>IF($K41="Yes",'Point Schedule'!$C$29,0)</f>
        <v>0</v>
      </c>
      <c r="AC41" s="113">
        <f>IF($L41="Yes",'Point Schedule'!$C$30,0)</f>
        <v>0</v>
      </c>
      <c r="AD41" s="114">
        <f>IF(M41="Yes",'Point Schedule'!$C$31,0)</f>
        <v>0</v>
      </c>
      <c r="AE41" s="122">
        <f t="shared" si="0"/>
        <v>0</v>
      </c>
      <c r="AF41" s="123">
        <f t="shared" si="1"/>
        <v>0</v>
      </c>
      <c r="AG41" s="761"/>
    </row>
    <row r="42" spans="1:33" ht="20.149999999999999" customHeight="1" x14ac:dyDescent="0.6">
      <c r="A42" s="387"/>
      <c r="B42" s="274"/>
      <c r="C42" s="772"/>
      <c r="D42" s="773"/>
      <c r="E42" s="275"/>
      <c r="F42" s="275"/>
      <c r="G42" s="275"/>
      <c r="H42" s="275"/>
      <c r="I42" s="275"/>
      <c r="J42" s="275"/>
      <c r="K42" s="275"/>
      <c r="L42" s="275"/>
      <c r="M42" s="275"/>
      <c r="N42" s="113">
        <f>IF(AND(E42="Beg. Nov.",G42="1st"),'Point Schedule'!$B$20,IF(AND(E42="Beg. Nov.",G42="2nd"),'Point Schedule'!$B$21,IF(AND(E42="Beg. Nov.",G42="3rd"),'Point Schedule'!$B$22,IF(AND(E42="Beg. Nov.",G42="4th"),'Point Schedule'!$B$23,0))))</f>
        <v>0</v>
      </c>
      <c r="O42" s="113">
        <f>IF(AND($E42="Novice",$G42="1st"),'Point Schedule'!$C$20,IF(AND($E42="Novice",$G42="2nd"),'Point Schedule'!$C$21,IF(AND($E42="Novice",$G42="3rd"),'Point Schedule'!$C$22,IF(AND($E42="Novice",$G42="4th"),'Point Schedule'!$C$23,0))))</f>
        <v>0</v>
      </c>
      <c r="P42" s="113">
        <f>IF(AND($E42="Grad Nov",$G42="1st"),'Point Schedule'!$D$20,IF(AND($E42="Grad Nov",$G42="2nd"),'Point Schedule'!$D$21,IF(AND($E42="Grad Nov",$G42="3rd"),'Point Schedule'!$D$22,IF(AND($E42="Grad Nov",$G42="4th"),'Point Schedule'!$D$23,0))))</f>
        <v>0</v>
      </c>
      <c r="Q42" s="113">
        <f>IF(AND(E42="Open",G42="1st"),'Point Schedule'!$E$20,IF(AND(E42="Open",G42="2nd"),'Point Schedule'!$E$21,IF(AND(E42="Open",G42="3rd"),'Point Schedule'!$E$22,IF(AND(E42="Open",G42="4th"),'Point Schedule'!$E$23,0))))</f>
        <v>0</v>
      </c>
      <c r="R42" s="113">
        <f>IF(AND($E42="Grad Open",$G42="1st"),'Point Schedule'!$F$20,IF(AND($E42="Grad Open",$G42="2nd"),'Point Schedule'!$F$21,IF(AND($E42="Grad Open",$G42="3rd"),'Point Schedule'!$F$22,IF(AND($E42="Grad Open",$G42="4th"),'Point Schedule'!$F$23,0))))</f>
        <v>0</v>
      </c>
      <c r="S42" s="113">
        <f>IF(AND(E42="Utility",G42="1st"),'Point Schedule'!$G$20,IF(AND(E42="Utility",G42="2nd"),'Point Schedule'!$G$21,IF(AND(E42="Utility",G42="3rd"),'Point Schedule'!$G$22,IF(AND(E42="Utility",G42="4th"),'Point Schedule'!$G$23,0))))</f>
        <v>0</v>
      </c>
      <c r="T42" s="113">
        <f>IF(AND($E42="Ver",$G42="1st"),'Point Schedule'!$H$20,IF(AND($E42="Ver",$G42="2nd"),'Point Schedule'!$H$21,IF(AND($E42="Ver",$G42="3rd"),'Point Schedule'!$H$22,IF(AND($E42="Ver",$G42="4th"),'Point Schedule'!$H$23,0))))</f>
        <v>0</v>
      </c>
      <c r="U42" s="113">
        <f>IF(AND($E42="Pref Nov",$G42="1st"),'Point Schedule'!$C$64,IF(AND($E42="Pref Nov",$G42="2nd"),'Point Schedule'!$C$65,IF(AND($E42="Pref Nov",$G42="3rd"),'Point Schedule'!$C$66,IF(AND($E42="Pref Nov",$G42="4th"),'Point Schedule'!$C$67,0))))</f>
        <v>0</v>
      </c>
      <c r="V42" s="113">
        <f>IF(AND($E42="Pref Open",$G42="1st"),'Point Schedule'!$E$64,IF(AND($E42="Pref Open",$G42="2nd"),'Point Schedule'!$E$65,IF(AND($E42="Pref Open",$G42="3rd"),'Point Schedule'!$E$66,IF(AND($E42="Pref Open",$G42="4th"),'Point Schedule'!$E$67,0))))</f>
        <v>0</v>
      </c>
      <c r="W42" s="113">
        <f>IF(AND($E42="Pref Utility",$G42="1st"),'Point Schedule'!$G$64,IF(AND($E42="Pref Utility",$G42="2nd"),'Point Schedule'!$G$65,IF(AND($E42="Pref Utility",$G42="3rd"),'Point Schedule'!$G$66,IF(AND($E42="Pref Utility",$G42="4th"),'Point Schedule'!$G$67,0))))</f>
        <v>0</v>
      </c>
      <c r="X42" s="113">
        <f>IF(AND($E42="Pref Utility",$B42=$B43,NOT($E42=$E43),$J42="Yes"),'Point Schedule'!$C$72,0)</f>
        <v>0</v>
      </c>
      <c r="Y42" s="113">
        <f>IF(AND($E42="Beg. Nov.",$H42="Yes"),'Point Schedule'!$B$25,IF(AND($E42="Novice",$H42="Yes"),'Point Schedule'!$C$25,IF(AND($E42="Pref Nov",$H42="Yes"),'Point Schedule'!$C$69,IF(AND($E42="Grad Nov",$H42="Yes"),'Point Schedule'!$D$25,IF(AND($E42="Open",$H42="Yes"),'Point Schedule'!$E$25,IF(AND($E42="Pref Open",$H42="Yes"),'Point Schedule'!$E$69,IF(AND($E42="Grad Open",$H42="Yes"),'Point Schedule'!$F$25,IF(AND($E42="Ver",$H42="Yes"),'Point Schedule'!$H$25,IF(AND($E42="Utility",$H42="Yes"),'Point Schedule'!$G$25,IF(AND($E42="Pref Utility",$H42="Yes"),'Point Schedule'!$G$69,0))))))))))</f>
        <v>0</v>
      </c>
      <c r="Z42" s="113">
        <f>IF($I42&gt;=195,'Point Schedule'!$C$27,0)</f>
        <v>0</v>
      </c>
      <c r="AA42" s="96">
        <f>IF(AND($E42="Utility",$B42=$B43,NOT($E42=$E43),$J42="Yes"),'[1]Point Schedule'!$C$28,0)</f>
        <v>0</v>
      </c>
      <c r="AB42" s="113">
        <f>IF($K42="Yes",'Point Schedule'!$C$29,0)</f>
        <v>0</v>
      </c>
      <c r="AC42" s="113">
        <f>IF($L42="Yes",'Point Schedule'!$C$30,0)</f>
        <v>0</v>
      </c>
      <c r="AD42" s="114">
        <f>IF(M42="Yes",'Point Schedule'!$C$31,0)</f>
        <v>0</v>
      </c>
      <c r="AE42" s="122">
        <f t="shared" si="0"/>
        <v>0</v>
      </c>
      <c r="AF42" s="123">
        <f t="shared" si="1"/>
        <v>0</v>
      </c>
      <c r="AG42" s="761"/>
    </row>
    <row r="43" spans="1:33" ht="20.149999999999999" customHeight="1" x14ac:dyDescent="0.6">
      <c r="A43" s="387"/>
      <c r="B43" s="274"/>
      <c r="C43" s="772"/>
      <c r="D43" s="773"/>
      <c r="E43" s="275"/>
      <c r="F43" s="275"/>
      <c r="G43" s="275"/>
      <c r="H43" s="275"/>
      <c r="I43" s="275"/>
      <c r="J43" s="275"/>
      <c r="K43" s="275"/>
      <c r="L43" s="275"/>
      <c r="M43" s="275"/>
      <c r="N43" s="113">
        <f>IF(AND(E43="Beg. Nov.",G43="1st"),'Point Schedule'!$B$20,IF(AND(E43="Beg. Nov.",G43="2nd"),'Point Schedule'!$B$21,IF(AND(E43="Beg. Nov.",G43="3rd"),'Point Schedule'!$B$22,IF(AND(E43="Beg. Nov.",G43="4th"),'Point Schedule'!$B$23,0))))</f>
        <v>0</v>
      </c>
      <c r="O43" s="113">
        <f>IF(AND($E43="Novice",$G43="1st"),'Point Schedule'!$C$20,IF(AND($E43="Novice",$G43="2nd"),'Point Schedule'!$C$21,IF(AND($E43="Novice",$G43="3rd"),'Point Schedule'!$C$22,IF(AND($E43="Novice",$G43="4th"),'Point Schedule'!$C$23,0))))</f>
        <v>0</v>
      </c>
      <c r="P43" s="113">
        <f>IF(AND($E43="Grad Nov",$G43="1st"),'Point Schedule'!$D$20,IF(AND($E43="Grad Nov",$G43="2nd"),'Point Schedule'!$D$21,IF(AND($E43="Grad Nov",$G43="3rd"),'Point Schedule'!$D$22,IF(AND($E43="Grad Nov",$G43="4th"),'Point Schedule'!$D$23,0))))</f>
        <v>0</v>
      </c>
      <c r="Q43" s="113">
        <f>IF(AND(E43="Open",G43="1st"),'Point Schedule'!$E$20,IF(AND(E43="Open",G43="2nd"),'Point Schedule'!$E$21,IF(AND(E43="Open",G43="3rd"),'Point Schedule'!$E$22,IF(AND(E43="Open",G43="4th"),'Point Schedule'!$E$23,0))))</f>
        <v>0</v>
      </c>
      <c r="R43" s="113">
        <f>IF(AND($E43="Grad Open",$G43="1st"),'Point Schedule'!$F$20,IF(AND($E43="Grad Open",$G43="2nd"),'Point Schedule'!$F$21,IF(AND($E43="Grad Open",$G43="3rd"),'Point Schedule'!$F$22,IF(AND($E43="Grad Open",$G43="4th"),'Point Schedule'!$F$23,0))))</f>
        <v>0</v>
      </c>
      <c r="S43" s="113">
        <f>IF(AND(E43="Utility",G43="1st"),'Point Schedule'!$G$20,IF(AND(E43="Utility",G43="2nd"),'Point Schedule'!$G$21,IF(AND(E43="Utility",G43="3rd"),'Point Schedule'!$G$22,IF(AND(E43="Utility",G43="4th"),'Point Schedule'!$G$23,0))))</f>
        <v>0</v>
      </c>
      <c r="T43" s="113">
        <f>IF(AND($E43="Ver",$G43="1st"),'Point Schedule'!$H$20,IF(AND($E43="Ver",$G43="2nd"),'Point Schedule'!$H$21,IF(AND($E43="Ver",$G43="3rd"),'Point Schedule'!$H$22,IF(AND($E43="Ver",$G43="4th"),'Point Schedule'!$H$23,0))))</f>
        <v>0</v>
      </c>
      <c r="U43" s="113">
        <f>IF(AND($E43="Pref Nov",$G43="1st"),'Point Schedule'!$C$64,IF(AND($E43="Pref Nov",$G43="2nd"),'Point Schedule'!$C$65,IF(AND($E43="Pref Nov",$G43="3rd"),'Point Schedule'!$C$66,IF(AND($E43="Pref Nov",$G43="4th"),'Point Schedule'!$C$67,0))))</f>
        <v>0</v>
      </c>
      <c r="V43" s="113">
        <f>IF(AND($E43="Pref Open",$G43="1st"),'Point Schedule'!$E$64,IF(AND($E43="Pref Open",$G43="2nd"),'Point Schedule'!$E$65,IF(AND($E43="Pref Open",$G43="3rd"),'Point Schedule'!$E$66,IF(AND($E43="Pref Open",$G43="4th"),'Point Schedule'!$E$67,0))))</f>
        <v>0</v>
      </c>
      <c r="W43" s="113">
        <f>IF(AND($E43="Pref Utility",$G43="1st"),'Point Schedule'!$G$64,IF(AND($E43="Pref Utility",$G43="2nd"),'Point Schedule'!$G$65,IF(AND($E43="Pref Utility",$G43="3rd"),'Point Schedule'!$G$66,IF(AND($E43="Pref Utility",$G43="4th"),'Point Schedule'!$G$67,0))))</f>
        <v>0</v>
      </c>
      <c r="X43" s="113">
        <f>IF(AND($E43="Pref Utility",$B43=$B44,NOT($E43=$E44),$J43="Yes"),'Point Schedule'!$C$72,0)</f>
        <v>0</v>
      </c>
      <c r="Y43" s="113">
        <f>IF(AND($E43="Beg. Nov.",$H43="Yes"),'Point Schedule'!$B$25,IF(AND($E43="Novice",$H43="Yes"),'Point Schedule'!$C$25,IF(AND($E43="Pref Nov",$H43="Yes"),'Point Schedule'!$C$69,IF(AND($E43="Grad Nov",$H43="Yes"),'Point Schedule'!$D$25,IF(AND($E43="Open",$H43="Yes"),'Point Schedule'!$E$25,IF(AND($E43="Pref Open",$H43="Yes"),'Point Schedule'!$E$69,IF(AND($E43="Grad Open",$H43="Yes"),'Point Schedule'!$F$25,IF(AND($E43="Ver",$H43="Yes"),'Point Schedule'!$H$25,IF(AND($E43="Utility",$H43="Yes"),'Point Schedule'!$G$25,IF(AND($E43="Pref Utility",$H43="Yes"),'Point Schedule'!$G$69,0))))))))))</f>
        <v>0</v>
      </c>
      <c r="Z43" s="113">
        <f>IF($I43&gt;=195,'Point Schedule'!$C$27,0)</f>
        <v>0</v>
      </c>
      <c r="AA43" s="96">
        <f>IF(AND($E43="Utility",$B43=$B44,NOT($E43=$E44),$J43="Yes"),'[1]Point Schedule'!$C$28,0)</f>
        <v>0</v>
      </c>
      <c r="AB43" s="113">
        <f>IF($K43="Yes",'Point Schedule'!$C$29,0)</f>
        <v>0</v>
      </c>
      <c r="AC43" s="113">
        <f>IF($L43="Yes",'Point Schedule'!$C$30,0)</f>
        <v>0</v>
      </c>
      <c r="AD43" s="114">
        <f>IF(M43="Yes",'Point Schedule'!$C$31,0)</f>
        <v>0</v>
      </c>
      <c r="AE43" s="122">
        <f t="shared" si="0"/>
        <v>0</v>
      </c>
      <c r="AF43" s="123">
        <f t="shared" si="1"/>
        <v>0</v>
      </c>
      <c r="AG43" s="761"/>
    </row>
    <row r="44" spans="1:33" ht="20.149999999999999" customHeight="1" thickBot="1" x14ac:dyDescent="0.75">
      <c r="A44" s="387"/>
      <c r="B44" s="274"/>
      <c r="C44" s="798"/>
      <c r="D44" s="799"/>
      <c r="E44" s="275"/>
      <c r="F44" s="275"/>
      <c r="G44" s="275"/>
      <c r="H44" s="275"/>
      <c r="I44" s="275"/>
      <c r="J44" s="275"/>
      <c r="K44" s="275"/>
      <c r="L44" s="275"/>
      <c r="M44" s="275"/>
      <c r="N44" s="113">
        <f>IF(AND(E44="Beg. Nov.",G44="1st"),'Point Schedule'!$B$20,IF(AND(E44="Beg. Nov.",G44="2nd"),'Point Schedule'!$B$21,IF(AND(E44="Beg. Nov.",G44="3rd"),'Point Schedule'!$B$22,IF(AND(E44="Beg. Nov.",G44="4th"),'Point Schedule'!$B$23,0))))</f>
        <v>0</v>
      </c>
      <c r="O44" s="113">
        <f>IF(AND($E44="Novice",$G44="1st"),'Point Schedule'!$C$20,IF(AND($E44="Novice",$G44="2nd"),'Point Schedule'!$C$21,IF(AND($E44="Novice",$G44="3rd"),'Point Schedule'!$C$22,IF(AND($E44="Novice",$G44="4th"),'Point Schedule'!$C$23,0))))</f>
        <v>0</v>
      </c>
      <c r="P44" s="113">
        <f>IF(AND($E44="Grad Nov",$G44="1st"),'Point Schedule'!$D$20,IF(AND($E44="Grad Nov",$G44="2nd"),'Point Schedule'!$D$21,IF(AND($E44="Grad Nov",$G44="3rd"),'Point Schedule'!$D$22,IF(AND($E44="Grad Nov",$G44="4th"),'Point Schedule'!$D$23,0))))</f>
        <v>0</v>
      </c>
      <c r="Q44" s="113">
        <f>IF(AND(E44="Open",G44="1st"),'Point Schedule'!$E$20,IF(AND(E44="Open",G44="2nd"),'Point Schedule'!$E$21,IF(AND(E44="Open",G44="3rd"),'Point Schedule'!$E$22,IF(AND(E44="Open",G44="4th"),'Point Schedule'!$E$23,0))))</f>
        <v>0</v>
      </c>
      <c r="R44" s="113">
        <f>IF(AND($E44="Grad Open",$G44="1st"),'Point Schedule'!$F$20,IF(AND($E44="Grad Open",$G44="2nd"),'Point Schedule'!$F$21,IF(AND($E44="Grad Open",$G44="3rd"),'Point Schedule'!$F$22,IF(AND($E44="Grad Open",$G44="4th"),'Point Schedule'!$F$23,0))))</f>
        <v>0</v>
      </c>
      <c r="S44" s="113">
        <f>IF(AND(E44="Utility",G44="1st"),'Point Schedule'!$G$20,IF(AND(E44="Utility",G44="2nd"),'Point Schedule'!$G$21,IF(AND(E44="Utility",G44="3rd"),'Point Schedule'!$G$22,IF(AND(E44="Utility",G44="4th"),'Point Schedule'!$G$23,0))))</f>
        <v>0</v>
      </c>
      <c r="T44" s="113">
        <f>IF(AND($E44="Ver",$G44="1st"),'Point Schedule'!$H$20,IF(AND($E44="Ver",$G44="2nd"),'Point Schedule'!$H$21,IF(AND($E44="Ver",$G44="3rd"),'Point Schedule'!$H$22,IF(AND($E44="Ver",$G44="4th"),'Point Schedule'!$H$23,0))))</f>
        <v>0</v>
      </c>
      <c r="U44" s="113">
        <f>IF(AND($E44="Pref Nov",$G44="1st"),'Point Schedule'!$C$64,IF(AND($E44="Pref Nov",$G44="2nd"),'Point Schedule'!$C$65,IF(AND($E44="Pref Nov",$G44="3rd"),'Point Schedule'!$C$66,IF(AND($E44="Pref Nov",$G44="4th"),'Point Schedule'!$C$67,0))))</f>
        <v>0</v>
      </c>
      <c r="V44" s="113">
        <f>IF(AND($E44="Pref Open",$G44="1st"),'Point Schedule'!$E$64,IF(AND($E44="Pref Open",$G44="2nd"),'Point Schedule'!$E$65,IF(AND($E44="Pref Open",$G44="3rd"),'Point Schedule'!$E$66,IF(AND($E44="Pref Open",$G44="4th"),'Point Schedule'!$E$67,0))))</f>
        <v>0</v>
      </c>
      <c r="W44" s="113">
        <f>IF(AND($E44="Pref Utility",$G44="1st"),'Point Schedule'!$G$64,IF(AND($E44="Pref Utility",$G44="2nd"),'Point Schedule'!$G$65,IF(AND($E44="Pref Utility",$G44="3rd"),'Point Schedule'!$G$66,IF(AND($E44="Pref Utility",$G44="4th"),'Point Schedule'!$G$67,0))))</f>
        <v>0</v>
      </c>
      <c r="X44" s="113">
        <f>IF(AND($E44="Pref Utility",$B44=$B45,NOT($E44=$E45),$J44="Yes"),'Point Schedule'!$C$72,0)</f>
        <v>0</v>
      </c>
      <c r="Y44" s="113">
        <f>IF(AND($E44="Beg. Nov.",$H44="Yes"),'Point Schedule'!$B$25,IF(AND($E44="Novice",$H44="Yes"),'Point Schedule'!$C$25,IF(AND($E44="Pref Nov",$H44="Yes"),'Point Schedule'!$C$69,IF(AND($E44="Grad Nov",$H44="Yes"),'Point Schedule'!$D$25,IF(AND($E44="Open",$H44="Yes"),'Point Schedule'!$E$25,IF(AND($E44="Pref Open",$H44="Yes"),'Point Schedule'!$E$69,IF(AND($E44="Grad Open",$H44="Yes"),'Point Schedule'!$F$25,IF(AND($E44="Ver",$H44="Yes"),'Point Schedule'!$H$25,IF(AND($E44="Utility",$H44="Yes"),'Point Schedule'!$G$25,IF(AND($E44="Pref Utility",$H44="Yes"),'Point Schedule'!$G$69,0))))))))))</f>
        <v>0</v>
      </c>
      <c r="Z44" s="113">
        <f>IF($I44&gt;=195,'Point Schedule'!$C$27,0)</f>
        <v>0</v>
      </c>
      <c r="AA44" s="96">
        <f>IF(AND($E44="Utility",$B44=$B45,NOT($E44=$E45),$J44="Yes"),'[1]Point Schedule'!$C$28,0)</f>
        <v>0</v>
      </c>
      <c r="AB44" s="113">
        <f>IF($K44="Yes",'Point Schedule'!$C$29,0)</f>
        <v>0</v>
      </c>
      <c r="AC44" s="113">
        <f>IF($L44="Yes",'Point Schedule'!$C$30,0)</f>
        <v>0</v>
      </c>
      <c r="AD44" s="114">
        <f>IF(M44="Yes",'Point Schedule'!$C$31,0)</f>
        <v>0</v>
      </c>
      <c r="AE44" s="122">
        <f t="shared" si="0"/>
        <v>0</v>
      </c>
      <c r="AF44" s="123">
        <f t="shared" si="1"/>
        <v>0</v>
      </c>
      <c r="AG44" s="761"/>
    </row>
    <row r="45" spans="1:33" ht="30" customHeight="1" thickTop="1" thickBot="1" x14ac:dyDescent="0.85">
      <c r="A45" s="387"/>
      <c r="B45" s="781" t="s">
        <v>127</v>
      </c>
      <c r="C45" s="111" t="s">
        <v>201</v>
      </c>
      <c r="D45" s="111" t="s">
        <v>202</v>
      </c>
      <c r="E45" s="117"/>
      <c r="F45" s="118"/>
      <c r="G45" s="119"/>
      <c r="H45" s="119"/>
      <c r="I45" s="119"/>
      <c r="J45" s="119"/>
      <c r="K45" s="119"/>
      <c r="L45" s="119"/>
      <c r="M45" s="119"/>
      <c r="N45" s="119"/>
      <c r="O45" s="119"/>
      <c r="P45" s="119"/>
      <c r="Q45" s="119"/>
      <c r="R45" s="119"/>
      <c r="S45" s="119"/>
      <c r="T45" s="119"/>
      <c r="U45" s="119"/>
      <c r="V45" s="119"/>
      <c r="W45" s="119"/>
      <c r="X45" s="119"/>
      <c r="Y45" s="119"/>
      <c r="Z45" s="119"/>
      <c r="AA45" s="119"/>
      <c r="AB45" s="119"/>
      <c r="AC45" s="119"/>
      <c r="AD45" s="119"/>
      <c r="AE45" s="120"/>
      <c r="AF45" s="120"/>
      <c r="AG45" s="761"/>
    </row>
    <row r="46" spans="1:33" ht="20.149999999999999" customHeight="1" thickTop="1" thickBot="1" x14ac:dyDescent="0.75">
      <c r="A46" s="387"/>
      <c r="B46" s="781"/>
      <c r="C46" s="111">
        <f>SUM(AE12:AE44)</f>
        <v>0</v>
      </c>
      <c r="D46" s="111">
        <f>SUM(AF12:AF44)</f>
        <v>0</v>
      </c>
      <c r="E46" s="112"/>
      <c r="F46" s="83"/>
      <c r="G46" s="121"/>
      <c r="H46" s="121"/>
      <c r="I46" s="121"/>
      <c r="J46" s="121"/>
      <c r="K46" s="121"/>
      <c r="L46" s="121"/>
      <c r="M46" s="121"/>
      <c r="N46" s="121"/>
      <c r="O46" s="121"/>
      <c r="P46" s="121"/>
      <c r="Q46" s="121"/>
      <c r="R46" s="121"/>
      <c r="S46" s="121"/>
      <c r="T46" s="121"/>
      <c r="U46" s="121"/>
      <c r="V46" s="121"/>
      <c r="W46" s="121"/>
      <c r="X46" s="121"/>
      <c r="Y46" s="121"/>
      <c r="Z46" s="121"/>
      <c r="AA46" s="121"/>
      <c r="AB46" s="121"/>
      <c r="AC46" s="121"/>
      <c r="AD46" s="121"/>
      <c r="AE46" s="121"/>
      <c r="AF46" s="121"/>
      <c r="AG46" s="761"/>
    </row>
    <row r="47" spans="1:33" ht="15" customHeight="1" thickTop="1" thickBot="1" x14ac:dyDescent="0.75">
      <c r="A47" s="551"/>
      <c r="B47" s="759"/>
      <c r="C47" s="759"/>
      <c r="D47" s="759"/>
      <c r="E47" s="759"/>
      <c r="F47" s="759"/>
      <c r="G47" s="759"/>
      <c r="H47" s="759"/>
      <c r="I47" s="759"/>
      <c r="J47" s="759"/>
      <c r="K47" s="759"/>
      <c r="L47" s="759"/>
      <c r="M47" s="759"/>
      <c r="N47" s="759"/>
      <c r="O47" s="759"/>
      <c r="P47" s="759"/>
      <c r="Q47" s="759"/>
      <c r="R47" s="759"/>
      <c r="S47" s="759"/>
      <c r="T47" s="759"/>
      <c r="U47" s="759"/>
      <c r="V47" s="759"/>
      <c r="W47" s="759"/>
      <c r="X47" s="759"/>
      <c r="Y47" s="759"/>
      <c r="Z47" s="759"/>
      <c r="AA47" s="759"/>
      <c r="AB47" s="759"/>
      <c r="AC47" s="759"/>
      <c r="AD47" s="759"/>
      <c r="AE47" s="759"/>
      <c r="AF47" s="759"/>
      <c r="AG47" s="760"/>
    </row>
    <row r="48" spans="1:33" ht="15" customHeight="1" thickTop="1" x14ac:dyDescent="0.6"/>
    <row r="49" spans="13:25" ht="15" customHeight="1" x14ac:dyDescent="0.6"/>
    <row r="50" spans="13:25" ht="13.75" thickBot="1" x14ac:dyDescent="0.75">
      <c r="M50" s="59"/>
    </row>
    <row r="51" spans="13:25" ht="13.75" thickTop="1" x14ac:dyDescent="0.6">
      <c r="M51" s="59"/>
      <c r="O51" s="787" t="s">
        <v>631</v>
      </c>
      <c r="P51" s="788"/>
      <c r="Q51" s="788"/>
      <c r="R51" s="788"/>
      <c r="S51" s="788"/>
      <c r="T51" s="788"/>
      <c r="U51" s="788"/>
      <c r="V51" s="788"/>
      <c r="W51" s="788"/>
      <c r="X51" s="788"/>
      <c r="Y51" s="789"/>
    </row>
    <row r="52" spans="13:25" x14ac:dyDescent="0.6">
      <c r="O52" s="790"/>
      <c r="P52" s="791"/>
      <c r="Q52" s="791"/>
      <c r="R52" s="791"/>
      <c r="S52" s="791"/>
      <c r="T52" s="791"/>
      <c r="U52" s="791"/>
      <c r="V52" s="791"/>
      <c r="W52" s="791"/>
      <c r="X52" s="791"/>
      <c r="Y52" s="792"/>
    </row>
    <row r="53" spans="13:25" x14ac:dyDescent="0.6">
      <c r="O53" s="790"/>
      <c r="P53" s="791"/>
      <c r="Q53" s="791"/>
      <c r="R53" s="791"/>
      <c r="S53" s="791"/>
      <c r="T53" s="791"/>
      <c r="U53" s="791"/>
      <c r="V53" s="791"/>
      <c r="W53" s="791"/>
      <c r="X53" s="791"/>
      <c r="Y53" s="792"/>
    </row>
    <row r="54" spans="13:25" ht="13.75" thickBot="1" x14ac:dyDescent="0.75">
      <c r="O54" s="793"/>
      <c r="P54" s="794"/>
      <c r="Q54" s="794"/>
      <c r="R54" s="794"/>
      <c r="S54" s="794"/>
      <c r="T54" s="794"/>
      <c r="U54" s="794"/>
      <c r="V54" s="794"/>
      <c r="W54" s="794"/>
      <c r="X54" s="794"/>
      <c r="Y54" s="795"/>
    </row>
    <row r="55" spans="13:25" ht="13.75" thickTop="1" x14ac:dyDescent="0.6"/>
  </sheetData>
  <sheetProtection algorithmName="SHA-512" hashValue="izNOXbvDuydou18xjvg+GzyC98pO8/n1GZ7zMfeyu8Wjxf6D4yIyyxeZ5U7RUdDgd+qK9GJHn7wdGcnQ1f+FRQ==" saltValue="hAtJBaLiquVwS6L8z7Qk9A==" spinCount="100000" sheet="1" objects="1" scenarios="1"/>
  <mergeCells count="73">
    <mergeCell ref="O51:Y54"/>
    <mergeCell ref="C19:D19"/>
    <mergeCell ref="C12:D12"/>
    <mergeCell ref="O10:O11"/>
    <mergeCell ref="C44:D44"/>
    <mergeCell ref="C28:D28"/>
    <mergeCell ref="C29:D29"/>
    <mergeCell ref="C30:D30"/>
    <mergeCell ref="C31:D31"/>
    <mergeCell ref="C38:D38"/>
    <mergeCell ref="R10:R11"/>
    <mergeCell ref="P10:P11"/>
    <mergeCell ref="C26:D26"/>
    <mergeCell ref="C40:D40"/>
    <mergeCell ref="C27:D27"/>
    <mergeCell ref="C43:D43"/>
    <mergeCell ref="A47:AG47"/>
    <mergeCell ref="A2:A46"/>
    <mergeCell ref="B45:B46"/>
    <mergeCell ref="AF10:AF11"/>
    <mergeCell ref="C21:D21"/>
    <mergeCell ref="E10:E11"/>
    <mergeCell ref="B7:E7"/>
    <mergeCell ref="C10:D11"/>
    <mergeCell ref="B2:AF2"/>
    <mergeCell ref="C23:D23"/>
    <mergeCell ref="C25:D25"/>
    <mergeCell ref="F4:M4"/>
    <mergeCell ref="F5:M5"/>
    <mergeCell ref="AC10:AC11"/>
    <mergeCell ref="T10:T11"/>
    <mergeCell ref="AB10:AB11"/>
    <mergeCell ref="C42:D42"/>
    <mergeCell ref="C36:D36"/>
    <mergeCell ref="C17:D17"/>
    <mergeCell ref="C15:D15"/>
    <mergeCell ref="A1:AG1"/>
    <mergeCell ref="B3:AF3"/>
    <mergeCell ref="AG2:AG46"/>
    <mergeCell ref="AA10:AA11"/>
    <mergeCell ref="N10:N11"/>
    <mergeCell ref="C13:D13"/>
    <mergeCell ref="AD10:AD11"/>
    <mergeCell ref="C39:D39"/>
    <mergeCell ref="B4:E4"/>
    <mergeCell ref="Q10:Q11"/>
    <mergeCell ref="AE10:AE11"/>
    <mergeCell ref="S10:S11"/>
    <mergeCell ref="Y10:Y11"/>
    <mergeCell ref="Z10:Z11"/>
    <mergeCell ref="B5:E5"/>
    <mergeCell ref="I10:I11"/>
    <mergeCell ref="F10:F11"/>
    <mergeCell ref="B10:B11"/>
    <mergeCell ref="B6:E6"/>
    <mergeCell ref="F6:M6"/>
    <mergeCell ref="F7:M7"/>
    <mergeCell ref="C41:D41"/>
    <mergeCell ref="U10:U11"/>
    <mergeCell ref="V10:V11"/>
    <mergeCell ref="W10:W11"/>
    <mergeCell ref="X10:X11"/>
    <mergeCell ref="C32:D32"/>
    <mergeCell ref="C33:D33"/>
    <mergeCell ref="C34:D34"/>
    <mergeCell ref="C35:D35"/>
    <mergeCell ref="C37:D37"/>
    <mergeCell ref="C24:D24"/>
    <mergeCell ref="C20:D20"/>
    <mergeCell ref="C16:D16"/>
    <mergeCell ref="C18:D18"/>
    <mergeCell ref="C22:D22"/>
    <mergeCell ref="C14:D14"/>
  </mergeCells>
  <phoneticPr fontId="2" type="noConversion"/>
  <dataValidations count="4">
    <dataValidation type="list" allowBlank="1" showInputMessage="1" showErrorMessage="1" sqref="F13:F44" xr:uid="{00000000-0002-0000-0500-000000000000}">
      <formula1>AMPRO</formula1>
    </dataValidation>
    <dataValidation type="list" allowBlank="1" showInputMessage="1" showErrorMessage="1" sqref="E13:E44" xr:uid="{00000000-0002-0000-0500-000001000000}">
      <formula1>ObedClasses</formula1>
    </dataValidation>
    <dataValidation type="list" allowBlank="1" showInputMessage="1" showErrorMessage="1" sqref="J13:M44 H13:H44" xr:uid="{00000000-0002-0000-0500-000002000000}">
      <formula1>YN</formula1>
    </dataValidation>
    <dataValidation type="list" allowBlank="1" showInputMessage="1" showErrorMessage="1" sqref="G13:G44" xr:uid="{00000000-0002-0000-0500-000003000000}">
      <formula1>Placement</formula1>
    </dataValidation>
  </dataValidations>
  <printOptions horizontalCentered="1" verticalCentered="1"/>
  <pageMargins left="0.25" right="0.25" top="0.25" bottom="0.25" header="0" footer="0"/>
  <pageSetup scale="42"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8">
    <pageSetUpPr fitToPage="1"/>
  </sheetPr>
  <dimension ref="A1:AD110"/>
  <sheetViews>
    <sheetView zoomScaleNormal="100" workbookViewId="0">
      <selection activeCell="B12" sqref="B12:H12"/>
    </sheetView>
  </sheetViews>
  <sheetFormatPr defaultColWidth="8.76953125" defaultRowHeight="13" x14ac:dyDescent="0.6"/>
  <cols>
    <col min="1" max="1" width="2.6796875" customWidth="1"/>
    <col min="2" max="2" width="15.6796875" style="1" customWidth="1"/>
    <col min="3" max="3" width="10.6796875" style="1" customWidth="1"/>
    <col min="4" max="4" width="35.6796875" style="1" customWidth="1"/>
    <col min="5" max="5" width="15.6796875" style="1" customWidth="1"/>
    <col min="6" max="21" width="12.6796875" style="1" customWidth="1"/>
    <col min="22" max="22" width="2.6796875" customWidth="1"/>
    <col min="28" max="28" width="10.76953125" customWidth="1"/>
  </cols>
  <sheetData>
    <row r="1" spans="1:30" ht="14.5" thickTop="1" thickBot="1" x14ac:dyDescent="0.75">
      <c r="A1" s="742"/>
      <c r="B1" s="743"/>
      <c r="C1" s="743"/>
      <c r="D1" s="743"/>
      <c r="E1" s="743"/>
      <c r="F1" s="743"/>
      <c r="G1" s="743"/>
      <c r="H1" s="743"/>
      <c r="I1" s="743"/>
      <c r="J1" s="743"/>
      <c r="K1" s="743"/>
      <c r="L1" s="743"/>
      <c r="M1" s="743"/>
      <c r="N1" s="743"/>
      <c r="O1" s="743"/>
      <c r="P1" s="743"/>
      <c r="Q1" s="743"/>
      <c r="R1" s="743"/>
      <c r="S1" s="743"/>
      <c r="T1" s="743"/>
      <c r="U1" s="743"/>
      <c r="V1" s="744"/>
    </row>
    <row r="2" spans="1:30" ht="25.15" customHeight="1" thickTop="1" thickBot="1" x14ac:dyDescent="0.75">
      <c r="A2" s="387"/>
      <c r="B2" s="745" t="s">
        <v>266</v>
      </c>
      <c r="C2" s="746"/>
      <c r="D2" s="746"/>
      <c r="E2" s="747"/>
      <c r="F2" s="747"/>
      <c r="G2" s="747"/>
      <c r="H2" s="747"/>
      <c r="I2" s="747"/>
      <c r="J2" s="747"/>
      <c r="K2" s="747"/>
      <c r="L2" s="747"/>
      <c r="M2" s="747"/>
      <c r="N2" s="747"/>
      <c r="O2" s="747"/>
      <c r="P2" s="747"/>
      <c r="Q2" s="747"/>
      <c r="R2" s="747"/>
      <c r="S2" s="747"/>
      <c r="T2" s="747"/>
      <c r="U2" s="748"/>
      <c r="V2" s="761"/>
    </row>
    <row r="3" spans="1:30" ht="14.5" thickTop="1" thickBot="1" x14ac:dyDescent="0.75">
      <c r="A3" s="387"/>
      <c r="B3" s="388"/>
      <c r="C3" s="388"/>
      <c r="D3" s="388"/>
      <c r="E3" s="388"/>
      <c r="F3" s="388"/>
      <c r="G3" s="388"/>
      <c r="H3" s="388"/>
      <c r="I3" s="388"/>
      <c r="J3" s="388"/>
      <c r="K3" s="388"/>
      <c r="L3" s="388"/>
      <c r="M3" s="388"/>
      <c r="N3" s="388"/>
      <c r="O3" s="388"/>
      <c r="P3" s="388"/>
      <c r="Q3" s="388"/>
      <c r="R3" s="388"/>
      <c r="S3" s="388"/>
      <c r="T3" s="388"/>
      <c r="U3" s="388"/>
      <c r="V3" s="761"/>
    </row>
    <row r="4" spans="1:30" ht="20.149999999999999" customHeight="1" thickTop="1" x14ac:dyDescent="0.7">
      <c r="A4" s="387"/>
      <c r="B4" s="415" t="s">
        <v>510</v>
      </c>
      <c r="C4" s="806"/>
      <c r="D4" s="806"/>
      <c r="E4" s="474"/>
      <c r="F4" s="751" t="str">
        <f>SUBSTITUTE(Summary!$D$5,,Summary!$D$5)</f>
        <v/>
      </c>
      <c r="G4" s="751"/>
      <c r="H4" s="751"/>
      <c r="I4" s="751"/>
      <c r="J4" s="751"/>
      <c r="K4" s="751"/>
      <c r="L4" s="751"/>
      <c r="M4" s="751"/>
      <c r="N4" s="751"/>
      <c r="O4" s="751"/>
      <c r="P4" s="751"/>
      <c r="Q4" s="751"/>
      <c r="R4" s="752"/>
      <c r="S4" s="752"/>
      <c r="T4" s="752"/>
      <c r="U4" s="807"/>
      <c r="V4" s="761"/>
      <c r="Y4" s="826" t="s">
        <v>366</v>
      </c>
      <c r="Z4" s="827"/>
      <c r="AA4" s="827"/>
      <c r="AB4" s="827"/>
      <c r="AC4" s="827"/>
      <c r="AD4" s="828"/>
    </row>
    <row r="5" spans="1:30" ht="20.149999999999999" customHeight="1" x14ac:dyDescent="0.7">
      <c r="A5" s="387"/>
      <c r="B5" s="479" t="s">
        <v>66</v>
      </c>
      <c r="C5" s="808"/>
      <c r="D5" s="808"/>
      <c r="E5" s="480"/>
      <c r="F5" s="535" t="str">
        <f>SUBSTITUTE(Summary!D7,,Summary!D7)</f>
        <v/>
      </c>
      <c r="G5" s="535"/>
      <c r="H5" s="535"/>
      <c r="I5" s="535"/>
      <c r="J5" s="535"/>
      <c r="K5" s="535"/>
      <c r="L5" s="535"/>
      <c r="M5" s="535"/>
      <c r="N5" s="535"/>
      <c r="O5" s="535"/>
      <c r="P5" s="535"/>
      <c r="Q5" s="535"/>
      <c r="R5" s="767"/>
      <c r="S5" s="767"/>
      <c r="T5" s="767"/>
      <c r="U5" s="809"/>
      <c r="V5" s="761"/>
      <c r="Y5" s="829"/>
      <c r="Z5" s="830"/>
      <c r="AA5" s="830"/>
      <c r="AB5" s="830"/>
      <c r="AC5" s="830"/>
      <c r="AD5" s="831"/>
    </row>
    <row r="6" spans="1:30" ht="20.149999999999999" customHeight="1" thickBot="1" x14ac:dyDescent="0.85">
      <c r="A6" s="387"/>
      <c r="B6" s="479" t="s">
        <v>100</v>
      </c>
      <c r="C6" s="808"/>
      <c r="D6" s="808"/>
      <c r="E6" s="480"/>
      <c r="F6" s="535" t="str">
        <f>SUBSTITUTE(Summary!D8,,Summary!D8)</f>
        <v/>
      </c>
      <c r="G6" s="535"/>
      <c r="H6" s="535"/>
      <c r="I6" s="535"/>
      <c r="J6" s="535"/>
      <c r="K6" s="535"/>
      <c r="L6" s="535"/>
      <c r="M6" s="535"/>
      <c r="N6" s="535"/>
      <c r="O6" s="535"/>
      <c r="P6" s="535"/>
      <c r="Q6" s="535"/>
      <c r="R6" s="767"/>
      <c r="S6" s="767"/>
      <c r="T6" s="767"/>
      <c r="U6" s="809"/>
      <c r="V6" s="761"/>
      <c r="Y6" s="832"/>
      <c r="Z6" s="833"/>
      <c r="AA6" s="833"/>
      <c r="AB6" s="833"/>
      <c r="AC6" s="833"/>
      <c r="AD6" s="834"/>
    </row>
    <row r="7" spans="1:30" ht="20.149999999999999" customHeight="1" thickTop="1" thickBot="1" x14ac:dyDescent="0.85">
      <c r="A7" s="387"/>
      <c r="B7" s="764" t="s">
        <v>299</v>
      </c>
      <c r="C7" s="765"/>
      <c r="D7" s="765"/>
      <c r="E7" s="766"/>
      <c r="F7" s="485" t="str">
        <f>SUBSTITUTE(Summary!D9,,Summary!D9)</f>
        <v/>
      </c>
      <c r="G7" s="485"/>
      <c r="H7" s="485"/>
      <c r="I7" s="485"/>
      <c r="J7" s="485"/>
      <c r="K7" s="485"/>
      <c r="L7" s="485"/>
      <c r="M7" s="485"/>
      <c r="N7" s="485"/>
      <c r="O7" s="485"/>
      <c r="P7" s="485"/>
      <c r="Q7" s="485"/>
      <c r="R7" s="770"/>
      <c r="S7" s="770"/>
      <c r="T7" s="770"/>
      <c r="U7" s="845"/>
      <c r="V7" s="761"/>
    </row>
    <row r="8" spans="1:30" ht="15" customHeight="1" thickTop="1" thickBot="1" x14ac:dyDescent="0.75">
      <c r="A8" s="387"/>
      <c r="B8" s="47"/>
      <c r="C8" s="47"/>
      <c r="D8" s="47"/>
      <c r="E8" s="47"/>
      <c r="F8" s="47"/>
      <c r="G8" s="47"/>
      <c r="H8" s="47"/>
      <c r="I8" s="47"/>
      <c r="J8" s="47"/>
      <c r="K8" s="47"/>
      <c r="L8" s="47"/>
      <c r="M8" s="47"/>
      <c r="N8" s="47"/>
      <c r="O8" s="47"/>
      <c r="P8" s="47"/>
      <c r="Q8" s="47"/>
      <c r="R8" s="47"/>
      <c r="S8" s="47"/>
      <c r="T8" s="47"/>
      <c r="U8" s="47"/>
      <c r="V8" s="761"/>
    </row>
    <row r="9" spans="1:30" ht="27" customHeight="1" thickTop="1" thickBot="1" x14ac:dyDescent="0.75">
      <c r="A9" s="387"/>
      <c r="B9" s="812" t="s">
        <v>10</v>
      </c>
      <c r="C9" s="814" t="s">
        <v>271</v>
      </c>
      <c r="D9" s="815"/>
      <c r="E9" s="45" t="s">
        <v>14</v>
      </c>
      <c r="F9" s="45" t="s">
        <v>11</v>
      </c>
      <c r="G9" s="44" t="s">
        <v>107</v>
      </c>
      <c r="H9" s="44" t="s">
        <v>12</v>
      </c>
      <c r="I9" s="44" t="s">
        <v>273</v>
      </c>
      <c r="J9" s="44" t="s">
        <v>336</v>
      </c>
      <c r="K9" s="44" t="s">
        <v>396</v>
      </c>
      <c r="L9" s="774" t="s">
        <v>163</v>
      </c>
      <c r="M9" s="774" t="s">
        <v>82</v>
      </c>
      <c r="N9" s="774" t="s">
        <v>164</v>
      </c>
      <c r="O9" s="774" t="s">
        <v>254</v>
      </c>
      <c r="P9" s="774" t="s">
        <v>870</v>
      </c>
      <c r="Q9" s="774" t="s">
        <v>13</v>
      </c>
      <c r="R9" s="774" t="s">
        <v>275</v>
      </c>
      <c r="S9" s="774" t="s">
        <v>337</v>
      </c>
      <c r="T9" s="774" t="s">
        <v>397</v>
      </c>
      <c r="U9" s="810" t="s">
        <v>17</v>
      </c>
      <c r="V9" s="761"/>
      <c r="Y9" s="835" t="s">
        <v>357</v>
      </c>
      <c r="Z9" s="836"/>
      <c r="AA9" s="836"/>
      <c r="AB9" s="837"/>
      <c r="AC9" s="171"/>
      <c r="AD9" s="171"/>
    </row>
    <row r="10" spans="1:30" ht="47.25" customHeight="1" thickBot="1" x14ac:dyDescent="0.75">
      <c r="A10" s="387"/>
      <c r="B10" s="813"/>
      <c r="C10" s="816"/>
      <c r="D10" s="817"/>
      <c r="E10" s="43" t="s">
        <v>643</v>
      </c>
      <c r="F10" s="43" t="s">
        <v>644</v>
      </c>
      <c r="G10" s="43" t="s">
        <v>213</v>
      </c>
      <c r="H10" s="43" t="s">
        <v>165</v>
      </c>
      <c r="I10" s="43" t="s">
        <v>274</v>
      </c>
      <c r="J10" s="43" t="s">
        <v>274</v>
      </c>
      <c r="K10" s="43" t="s">
        <v>274</v>
      </c>
      <c r="L10" s="386"/>
      <c r="M10" s="386"/>
      <c r="N10" s="386"/>
      <c r="O10" s="386"/>
      <c r="P10" s="386"/>
      <c r="Q10" s="386"/>
      <c r="R10" s="386"/>
      <c r="S10" s="386"/>
      <c r="T10" s="386"/>
      <c r="U10" s="811"/>
      <c r="V10" s="761"/>
      <c r="Y10" s="172" t="s">
        <v>358</v>
      </c>
      <c r="Z10" s="172" t="s">
        <v>359</v>
      </c>
      <c r="AA10" s="172" t="s">
        <v>360</v>
      </c>
      <c r="AB10" s="172" t="s">
        <v>361</v>
      </c>
      <c r="AC10" s="838" t="s">
        <v>362</v>
      </c>
      <c r="AD10" s="839"/>
    </row>
    <row r="11" spans="1:30" ht="20.149999999999999" customHeight="1" x14ac:dyDescent="0.6">
      <c r="A11" s="387"/>
      <c r="B11" s="276" t="s">
        <v>572</v>
      </c>
      <c r="C11" s="818" t="s">
        <v>573</v>
      </c>
      <c r="D11" s="819"/>
      <c r="E11" s="278" t="s">
        <v>573</v>
      </c>
      <c r="F11" s="279" t="s">
        <v>573</v>
      </c>
      <c r="G11" s="279" t="s">
        <v>573</v>
      </c>
      <c r="H11" s="277" t="s">
        <v>574</v>
      </c>
      <c r="I11" s="277" t="s">
        <v>574</v>
      </c>
      <c r="J11" s="277" t="s">
        <v>574</v>
      </c>
      <c r="K11" s="277" t="s">
        <v>574</v>
      </c>
      <c r="L11" s="102">
        <f>IF(AND($H11="1st",$E11="Novice"),'Point Schedule'!$C$4,IF(AND($H11="2nd",$E11="Novice"),'Point Schedule'!$C$5,IF(AND($H11="3rd",$E11="Novice"),'Point Schedule'!$C$6,IF(AND($H11="4th",$E11="Novice"),'Point Schedule'!$C$7,0))))</f>
        <v>0</v>
      </c>
      <c r="M11" s="102">
        <f>IF(AND($H11="1st",$E11="Open"),'Point Schedule'!$E$4,IF(AND($H11="2nd",$E11="Open"),'Point Schedule'!$E$5,IF(AND($H11="3rd",$E11="Open"),'Point Schedule'!$E$6,IF(AND($H11="4th",$E11="Open"),'Point Schedule'!$E$7,0))))</f>
        <v>0</v>
      </c>
      <c r="N11" s="102">
        <f>IF(AND($H11="1st",$E11="Excellent"),'Point Schedule'!$G$4,IF(AND($H11="2nd",$E11="Excellent"),'Point Schedule'!$G$5,IF(AND($H11="3rd",$E11="Excellent"),'Point Schedule'!$G$6,IF(AND($H11="4th",$E11="Excellent"),'Point Schedule'!$G$7,0))))</f>
        <v>0</v>
      </c>
      <c r="O11" s="102">
        <f>IF(AND($H11="1st",$E11="Masters"),'Point Schedule'!$I$4,IF(AND($H11="2nd",$E11="Masters"),'Point Schedule'!$I$5,IF(AND($H11="3rd",$E11="Masters"),'Point Schedule'!$I$6,IF(AND($H11="4th",$E11="Masters"),'Point Schedule'!$I$7,0))))</f>
        <v>0</v>
      </c>
      <c r="P11" s="102">
        <f>IF(AND($H11="1st",$E11="Premier"),'Point Schedule'!$H$4,IF(AND($H11="2nd",$E11="Premier"),'Point Schedule'!$H$5,IF(AND($H11="3rd",$E11="Premier"),'Point Schedule'!$H$6,IF(AND($H11="4th",$E11="Premier"),'Point Schedule'!$H$7,0))))</f>
        <v>0</v>
      </c>
      <c r="Q11" s="102">
        <f>IF(AND(E11="Novice",G11="Yes"),'Point Schedule'!$C$9,IF(AND(E11="Open",G11="Yes"),'Point Schedule'!$E$9,IF(AND(E11="T2B",G11="Yes"),'Point Schedule'!$E$9,IF(AND(E11="Excellent",G11="Yes"),'Point Schedule'!$G$9,IF(AND(E11="Masters",G11="YES"),'Point Schedule'!$I$9,IF(AND(E11="Premier",G11="YES"),'Point Schedule'!$H$9,0))))))</f>
        <v>0</v>
      </c>
      <c r="R11" s="104">
        <f>IF(I11="Yes",'Point Schedule'!$C$12,0)</f>
        <v>0</v>
      </c>
      <c r="S11" s="104">
        <f>IF(J11="Yes",'Point Schedule'!$C$13,0)</f>
        <v>0</v>
      </c>
      <c r="T11" s="104">
        <f>IF(K11="Yes",'Point Schedule'!$C$14,0)</f>
        <v>0</v>
      </c>
      <c r="U11" s="93">
        <f>IF(AND(B11=B12,NOT($B11=0),NOT(F11=F12)),'Point Schedule'!$C$11,0)</f>
        <v>0</v>
      </c>
      <c r="V11" s="761"/>
      <c r="W11" s="42"/>
      <c r="Y11" s="173"/>
      <c r="Z11" s="174"/>
      <c r="AA11" s="175">
        <f>SUM($Y11-$Z11)</f>
        <v>0</v>
      </c>
      <c r="AB11" s="176">
        <f>SUM($AC11:$AD11)</f>
        <v>0</v>
      </c>
      <c r="AC11" s="177">
        <f t="shared" ref="AC11:AC42" si="0">IF($H11="1st",$AA11*2,0)</f>
        <v>0</v>
      </c>
      <c r="AD11" s="176">
        <f t="shared" ref="AD11:AD42" si="1">IF($H11="2nd",$AA11*1.5,0)</f>
        <v>0</v>
      </c>
    </row>
    <row r="12" spans="1:30" ht="20.149999999999999" customHeight="1" x14ac:dyDescent="0.6">
      <c r="A12" s="387"/>
      <c r="B12" s="286"/>
      <c r="C12" s="800"/>
      <c r="D12" s="801"/>
      <c r="E12" s="287"/>
      <c r="F12" s="288"/>
      <c r="G12" s="288"/>
      <c r="H12" s="288"/>
      <c r="I12" s="288"/>
      <c r="J12" s="288"/>
      <c r="K12" s="288"/>
      <c r="L12" s="102">
        <f>IF(AND($H12="1st",$E12="Novice"),'Point Schedule'!$C$4,IF(AND($H12="2nd",$E12="Novice"),'Point Schedule'!$C$5,IF(AND($H12="3rd",$E12="Novice"),'Point Schedule'!$C$6,IF(AND($H12="4th",$E12="Novice"),'Point Schedule'!$C$7,0))))</f>
        <v>0</v>
      </c>
      <c r="M12" s="102">
        <f>IF(AND($H12="1st",$E12="Open"),'Point Schedule'!$E$4,IF(AND($H12="2nd",$E12="Open"),'Point Schedule'!$E$5,IF(AND($H12="3rd",$E12="Open"),'Point Schedule'!$E$6,IF(AND($H12="4th",$E12="Open"),'Point Schedule'!$E$7,0))))</f>
        <v>0</v>
      </c>
      <c r="N12" s="102">
        <f>IF(AND($H12="1st",$E12="Excellent"),'Point Schedule'!$G$4,IF(AND($H12="2nd",$E12="Excellent"),'Point Schedule'!$G$5,IF(AND($H12="3rd",$E12="Excellent"),'Point Schedule'!$G$6,IF(AND($H12="4th",$E12="Excellent"),'Point Schedule'!$G$7,0))))</f>
        <v>0</v>
      </c>
      <c r="O12" s="102">
        <f>IF(AND($H12="1st",$E12="Masters"),'Point Schedule'!$I$4,IF(AND($H12="2nd",$E12="Masters"),'Point Schedule'!$I$5,IF(AND($H12="3rd",$E12="Masters"),'Point Schedule'!$I$6,IF(AND($H12="4th",$E12="Masters"),'Point Schedule'!$I$7,0))))</f>
        <v>0</v>
      </c>
      <c r="P12" s="102">
        <f>IF(AND($H12="1st",$E12="Premier"),'Point Schedule'!$H$4,IF(AND($H12="2nd",$E12="Premier"),'Point Schedule'!$H$5,IF(AND($H12="3rd",$E12="Premier"),'Point Schedule'!$H$6,IF(AND($H12="4th",$E12="Premier"),'Point Schedule'!$H$7,0))))</f>
        <v>0</v>
      </c>
      <c r="Q12" s="102">
        <f>IF(AND(E12="Novice",G12="Yes"),'Point Schedule'!$C$9,IF(AND(E12="Open",G12="Yes"),'Point Schedule'!$E$9,IF(AND(E12="T2B",G12="Yes"),'Point Schedule'!$E$9,IF(AND(E12="Excellent",G12="Yes"),'Point Schedule'!$G$9,IF(AND(E12="Masters",G12="YES"),'Point Schedule'!$I$9,IF(AND(E12="Premier",G12="YES"),'Point Schedule'!$H$9,0))))))</f>
        <v>0</v>
      </c>
      <c r="R12" s="104">
        <f>IF(I12="Yes",'Point Schedule'!$C$12,0)</f>
        <v>0</v>
      </c>
      <c r="S12" s="104">
        <f>IF(J12="Yes",'Point Schedule'!$C$13,0)</f>
        <v>0</v>
      </c>
      <c r="T12" s="104">
        <f>IF(K12="Yes",'Point Schedule'!$C$14,0)</f>
        <v>0</v>
      </c>
      <c r="U12" s="93">
        <f>IF(AND(B12=B13,NOT($B12=0),NOT(F12=F13)),'Point Schedule'!$C$11,0)</f>
        <v>0</v>
      </c>
      <c r="V12" s="761"/>
      <c r="Y12" s="178"/>
      <c r="Z12" s="179"/>
      <c r="AA12" s="175">
        <f t="shared" ref="AA12:AA101" si="2">SUM($Y12-$Z12)</f>
        <v>0</v>
      </c>
      <c r="AB12" s="176">
        <f t="shared" ref="AB12:AB101" si="3">SUM($AC12:$AD12)</f>
        <v>0</v>
      </c>
      <c r="AC12" s="177">
        <f t="shared" si="0"/>
        <v>0</v>
      </c>
      <c r="AD12" s="176">
        <f t="shared" si="1"/>
        <v>0</v>
      </c>
    </row>
    <row r="13" spans="1:30" ht="20.149999999999999" customHeight="1" x14ac:dyDescent="0.6">
      <c r="A13" s="387"/>
      <c r="B13" s="286"/>
      <c r="C13" s="800"/>
      <c r="D13" s="801"/>
      <c r="E13" s="287"/>
      <c r="F13" s="288"/>
      <c r="G13" s="288"/>
      <c r="H13" s="288"/>
      <c r="I13" s="288"/>
      <c r="J13" s="288"/>
      <c r="K13" s="288"/>
      <c r="L13" s="102">
        <f>IF(AND($H13="1st",$E13="Novice"),'Point Schedule'!$C$4,IF(AND($H13="2nd",$E13="Novice"),'Point Schedule'!$C$5,IF(AND($H13="3rd",$E13="Novice"),'Point Schedule'!$C$6,IF(AND($H13="4th",$E13="Novice"),'Point Schedule'!$C$7,0))))</f>
        <v>0</v>
      </c>
      <c r="M13" s="102">
        <f>IF(AND($H13="1st",$E13="Open"),'Point Schedule'!$E$4,IF(AND($H13="2nd",$E13="Open"),'Point Schedule'!$E$5,IF(AND($H13="3rd",$E13="Open"),'Point Schedule'!$E$6,IF(AND($H13="4th",$E13="Open"),'Point Schedule'!$E$7,0))))</f>
        <v>0</v>
      </c>
      <c r="N13" s="102">
        <f>IF(AND($H13="1st",$E13="Excellent"),'Point Schedule'!$G$4,IF(AND($H13="2nd",$E13="Excellent"),'Point Schedule'!$G$5,IF(AND($H13="3rd",$E13="Excellent"),'Point Schedule'!$G$6,IF(AND($H13="4th",$E13="Excellent"),'Point Schedule'!$G$7,0))))</f>
        <v>0</v>
      </c>
      <c r="O13" s="102">
        <f>IF(AND($H13="1st",$E13="Masters"),'Point Schedule'!$I$4,IF(AND($H13="2nd",$E13="Masters"),'Point Schedule'!$I$5,IF(AND($H13="3rd",$E13="Masters"),'Point Schedule'!$I$6,IF(AND($H13="4th",$E13="Masters"),'Point Schedule'!$I$7,0))))</f>
        <v>0</v>
      </c>
      <c r="P13" s="102">
        <f>IF(AND($H13="1st",$E13="Premier"),'Point Schedule'!$H$4,IF(AND($H13="2nd",$E13="Premier"),'Point Schedule'!$H$5,IF(AND($H13="3rd",$E13="Premier"),'Point Schedule'!$H$6,IF(AND($H13="4th",$E13="Premier"),'Point Schedule'!$H$7,0))))</f>
        <v>0</v>
      </c>
      <c r="Q13" s="102">
        <f>IF(AND(E13="Novice",G13="Yes"),'Point Schedule'!$C$9,IF(AND(E13="Open",G13="Yes"),'Point Schedule'!$E$9,IF(AND(E13="T2B",G13="Yes"),'Point Schedule'!$E$9,IF(AND(E13="Excellent",G13="Yes"),'Point Schedule'!$G$9,IF(AND(E13="Masters",G13="YES"),'Point Schedule'!$I$9,IF(AND(E13="Premier",G13="YES"),'Point Schedule'!$H$9,0))))))</f>
        <v>0</v>
      </c>
      <c r="R13" s="104">
        <f>IF(I13="Yes",'Point Schedule'!$C$12,0)</f>
        <v>0</v>
      </c>
      <c r="S13" s="104">
        <f>IF(J13="Yes",'Point Schedule'!$C$13,0)</f>
        <v>0</v>
      </c>
      <c r="T13" s="104">
        <f>IF(K13="Yes",'Point Schedule'!$C$14,0)</f>
        <v>0</v>
      </c>
      <c r="U13" s="93">
        <f>IF(AND(B13=B14,NOT($B13=0),NOT(F13=F14)),'Point Schedule'!$C$11,0)</f>
        <v>0</v>
      </c>
      <c r="V13" s="761"/>
      <c r="Y13" s="178"/>
      <c r="Z13" s="179"/>
      <c r="AA13" s="175">
        <f t="shared" si="2"/>
        <v>0</v>
      </c>
      <c r="AB13" s="176">
        <f t="shared" si="3"/>
        <v>0</v>
      </c>
      <c r="AC13" s="177">
        <f t="shared" si="0"/>
        <v>0</v>
      </c>
      <c r="AD13" s="176">
        <f t="shared" si="1"/>
        <v>0</v>
      </c>
    </row>
    <row r="14" spans="1:30" ht="20.149999999999999" customHeight="1" x14ac:dyDescent="0.6">
      <c r="A14" s="387"/>
      <c r="B14" s="286"/>
      <c r="C14" s="800"/>
      <c r="D14" s="801"/>
      <c r="E14" s="287"/>
      <c r="F14" s="288"/>
      <c r="G14" s="288"/>
      <c r="H14" s="288"/>
      <c r="I14" s="288"/>
      <c r="J14" s="288"/>
      <c r="K14" s="288"/>
      <c r="L14" s="102">
        <f>IF(AND($H14="1st",$E14="Novice"),'Point Schedule'!$C$4,IF(AND($H14="2nd",$E14="Novice"),'Point Schedule'!$C$5,IF(AND($H14="3rd",$E14="Novice"),'Point Schedule'!$C$6,IF(AND($H14="4th",$E14="Novice"),'Point Schedule'!$C$7,0))))</f>
        <v>0</v>
      </c>
      <c r="M14" s="102">
        <f>IF(AND($H14="1st",$E14="Open"),'Point Schedule'!$E$4,IF(AND($H14="2nd",$E14="Open"),'Point Schedule'!$E$5,IF(AND($H14="3rd",$E14="Open"),'Point Schedule'!$E$6,IF(AND($H14="4th",$E14="Open"),'Point Schedule'!$E$7,0))))</f>
        <v>0</v>
      </c>
      <c r="N14" s="102">
        <f>IF(AND($H14="1st",$E14="Excellent"),'Point Schedule'!$G$4,IF(AND($H14="2nd",$E14="Excellent"),'Point Schedule'!$G$5,IF(AND($H14="3rd",$E14="Excellent"),'Point Schedule'!$G$6,IF(AND($H14="4th",$E14="Excellent"),'Point Schedule'!$G$7,0))))</f>
        <v>0</v>
      </c>
      <c r="O14" s="102">
        <f>IF(AND($H14="1st",$E14="Masters"),'Point Schedule'!$I$4,IF(AND($H14="2nd",$E14="Masters"),'Point Schedule'!$I$5,IF(AND($H14="3rd",$E14="Masters"),'Point Schedule'!$I$6,IF(AND($H14="4th",$E14="Masters"),'Point Schedule'!$I$7,0))))</f>
        <v>0</v>
      </c>
      <c r="P14" s="102">
        <f>IF(AND($H14="1st",$E14="Premier"),'Point Schedule'!$H$4,IF(AND($H14="2nd",$E14="Premier"),'Point Schedule'!$H$5,IF(AND($H14="3rd",$E14="Premier"),'Point Schedule'!$H$6,IF(AND($H14="4th",$E14="Premier"),'Point Schedule'!$H$7,0))))</f>
        <v>0</v>
      </c>
      <c r="Q14" s="102">
        <f>IF(AND(E14="Novice",G14="Yes"),'Point Schedule'!$C$9,IF(AND(E14="Open",G14="Yes"),'Point Schedule'!$E$9,IF(AND(E14="T2B",G14="Yes"),'Point Schedule'!$E$9,IF(AND(E14="Excellent",G14="Yes"),'Point Schedule'!$G$9,IF(AND(E14="Masters",G14="YES"),'Point Schedule'!$I$9,IF(AND(E14="Premier",G14="YES"),'Point Schedule'!$H$9,0))))))</f>
        <v>0</v>
      </c>
      <c r="R14" s="104">
        <f>IF(I14="Yes",'Point Schedule'!$C$12,0)</f>
        <v>0</v>
      </c>
      <c r="S14" s="104">
        <f>IF(J14="Yes",'Point Schedule'!$C$13,0)</f>
        <v>0</v>
      </c>
      <c r="T14" s="104">
        <f>IF(K14="Yes",'Point Schedule'!$C$14,0)</f>
        <v>0</v>
      </c>
      <c r="U14" s="93">
        <f>IF(AND(B14=B15,NOT($B14=0),NOT(F14=F15)),'Point Schedule'!$C$11,0)</f>
        <v>0</v>
      </c>
      <c r="V14" s="761"/>
      <c r="W14" s="42"/>
      <c r="Y14" s="178"/>
      <c r="Z14" s="179"/>
      <c r="AA14" s="175">
        <f t="shared" si="2"/>
        <v>0</v>
      </c>
      <c r="AB14" s="176">
        <f t="shared" si="3"/>
        <v>0</v>
      </c>
      <c r="AC14" s="177">
        <f t="shared" si="0"/>
        <v>0</v>
      </c>
      <c r="AD14" s="176">
        <f t="shared" si="1"/>
        <v>0</v>
      </c>
    </row>
    <row r="15" spans="1:30" ht="20.149999999999999" customHeight="1" x14ac:dyDescent="0.6">
      <c r="A15" s="387"/>
      <c r="B15" s="286"/>
      <c r="C15" s="800"/>
      <c r="D15" s="801"/>
      <c r="E15" s="287"/>
      <c r="F15" s="288"/>
      <c r="G15" s="288"/>
      <c r="H15" s="288"/>
      <c r="I15" s="288"/>
      <c r="J15" s="288"/>
      <c r="K15" s="288"/>
      <c r="L15" s="102">
        <f>IF(AND($H15="1st",$E15="Novice"),'Point Schedule'!$C$4,IF(AND($H15="2nd",$E15="Novice"),'Point Schedule'!$C$5,IF(AND($H15="3rd",$E15="Novice"),'Point Schedule'!$C$6,IF(AND($H15="4th",$E15="Novice"),'Point Schedule'!$C$7,0))))</f>
        <v>0</v>
      </c>
      <c r="M15" s="102">
        <f>IF(AND($H15="1st",$E15="Open"),'Point Schedule'!$E$4,IF(AND($H15="2nd",$E15="Open"),'Point Schedule'!$E$5,IF(AND($H15="3rd",$E15="Open"),'Point Schedule'!$E$6,IF(AND($H15="4th",$E15="Open"),'Point Schedule'!$E$7,0))))</f>
        <v>0</v>
      </c>
      <c r="N15" s="102">
        <f>IF(AND($H15="1st",$E15="Excellent"),'Point Schedule'!$G$4,IF(AND($H15="2nd",$E15="Excellent"),'Point Schedule'!$G$5,IF(AND($H15="3rd",$E15="Excellent"),'Point Schedule'!$G$6,IF(AND($H15="4th",$E15="Excellent"),'Point Schedule'!$G$7,0))))</f>
        <v>0</v>
      </c>
      <c r="O15" s="102">
        <f>IF(AND($H15="1st",$E15="Masters"),'Point Schedule'!$I$4,IF(AND($H15="2nd",$E15="Masters"),'Point Schedule'!$I$5,IF(AND($H15="3rd",$E15="Masters"),'Point Schedule'!$I$6,IF(AND($H15="4th",$E15="Masters"),'Point Schedule'!$I$7,0))))</f>
        <v>0</v>
      </c>
      <c r="P15" s="102">
        <f>IF(AND($H15="1st",$E15="Premier"),'Point Schedule'!$H$4,IF(AND($H15="2nd",$E15="Premier"),'Point Schedule'!$H$5,IF(AND($H15="3rd",$E15="Premier"),'Point Schedule'!$H$6,IF(AND($H15="4th",$E15="Premier"),'Point Schedule'!$H$7,0))))</f>
        <v>0</v>
      </c>
      <c r="Q15" s="102">
        <f>IF(AND(E15="Novice",G15="Yes"),'Point Schedule'!$C$9,IF(AND(E15="Open",G15="Yes"),'Point Schedule'!$E$9,IF(AND(E15="T2B",G15="Yes"),'Point Schedule'!$E$9,IF(AND(E15="Excellent",G15="Yes"),'Point Schedule'!$G$9,IF(AND(E15="Masters",G15="YES"),'Point Schedule'!$I$9,IF(AND(E15="Premier",G15="YES"),'Point Schedule'!$H$9,0))))))</f>
        <v>0</v>
      </c>
      <c r="R15" s="104">
        <f>IF(I15="Yes",'Point Schedule'!$C$12,0)</f>
        <v>0</v>
      </c>
      <c r="S15" s="104">
        <f>IF(J15="Yes",'Point Schedule'!$C$13,0)</f>
        <v>0</v>
      </c>
      <c r="T15" s="104">
        <f>IF(K15="Yes",'Point Schedule'!$C$14,0)</f>
        <v>0</v>
      </c>
      <c r="U15" s="93">
        <f>IF(AND(B15=B16,NOT($B15=0),NOT(F15=F16)),'Point Schedule'!$C$11,0)</f>
        <v>0</v>
      </c>
      <c r="V15" s="761"/>
      <c r="Y15" s="178"/>
      <c r="Z15" s="179"/>
      <c r="AA15" s="175">
        <f t="shared" si="2"/>
        <v>0</v>
      </c>
      <c r="AB15" s="176">
        <f t="shared" si="3"/>
        <v>0</v>
      </c>
      <c r="AC15" s="177">
        <f t="shared" si="0"/>
        <v>0</v>
      </c>
      <c r="AD15" s="176">
        <f t="shared" si="1"/>
        <v>0</v>
      </c>
    </row>
    <row r="16" spans="1:30" ht="20.149999999999999" customHeight="1" x14ac:dyDescent="0.6">
      <c r="A16" s="387"/>
      <c r="B16" s="286"/>
      <c r="C16" s="800"/>
      <c r="D16" s="801"/>
      <c r="E16" s="287"/>
      <c r="F16" s="288"/>
      <c r="G16" s="288"/>
      <c r="H16" s="288"/>
      <c r="I16" s="288"/>
      <c r="J16" s="288"/>
      <c r="K16" s="288"/>
      <c r="L16" s="102">
        <f>IF(AND($H16="1st",$E16="Novice"),'Point Schedule'!$C$4,IF(AND($H16="2nd",$E16="Novice"),'Point Schedule'!$C$5,IF(AND($H16="3rd",$E16="Novice"),'Point Schedule'!$C$6,IF(AND($H16="4th",$E16="Novice"),'Point Schedule'!$C$7,0))))</f>
        <v>0</v>
      </c>
      <c r="M16" s="102">
        <f>IF(AND($H16="1st",$E16="Open"),'Point Schedule'!$E$4,IF(AND($H16="2nd",$E16="Open"),'Point Schedule'!$E$5,IF(AND($H16="3rd",$E16="Open"),'Point Schedule'!$E$6,IF(AND($H16="4th",$E16="Open"),'Point Schedule'!$E$7,0))))</f>
        <v>0</v>
      </c>
      <c r="N16" s="102">
        <f>IF(AND($H16="1st",$E16="Excellent"),'Point Schedule'!$G$4,IF(AND($H16="2nd",$E16="Excellent"),'Point Schedule'!$G$5,IF(AND($H16="3rd",$E16="Excellent"),'Point Schedule'!$G$6,IF(AND($H16="4th",$E16="Excellent"),'Point Schedule'!$G$7,0))))</f>
        <v>0</v>
      </c>
      <c r="O16" s="102">
        <f>IF(AND($H16="1st",$E16="Masters"),'Point Schedule'!$I$4,IF(AND($H16="2nd",$E16="Masters"),'Point Schedule'!$I$5,IF(AND($H16="3rd",$E16="Masters"),'Point Schedule'!$I$6,IF(AND($H16="4th",$E16="Masters"),'Point Schedule'!$I$7,0))))</f>
        <v>0</v>
      </c>
      <c r="P16" s="102">
        <f>IF(AND($H16="1st",$E16="Premier"),'Point Schedule'!$H$4,IF(AND($H16="2nd",$E16="Premier"),'Point Schedule'!$H$5,IF(AND($H16="3rd",$E16="Premier"),'Point Schedule'!$H$6,IF(AND($H16="4th",$E16="Premier"),'Point Schedule'!$H$7,0))))</f>
        <v>0</v>
      </c>
      <c r="Q16" s="102">
        <f>IF(AND(E16="Novice",G16="Yes"),'Point Schedule'!$C$9,IF(AND(E16="Open",G16="Yes"),'Point Schedule'!$E$9,IF(AND(E16="T2B",G16="Yes"),'Point Schedule'!$E$9,IF(AND(E16="Excellent",G16="Yes"),'Point Schedule'!$G$9,IF(AND(E16="Masters",G16="YES"),'Point Schedule'!$I$9,IF(AND(E16="Premier",G16="YES"),'Point Schedule'!$H$9,0))))))</f>
        <v>0</v>
      </c>
      <c r="R16" s="104">
        <f>IF(I16="Yes",'Point Schedule'!$C$12,0)</f>
        <v>0</v>
      </c>
      <c r="S16" s="104">
        <f>IF(J16="Yes",'Point Schedule'!$C$13,0)</f>
        <v>0</v>
      </c>
      <c r="T16" s="104">
        <f>IF(K16="Yes",'Point Schedule'!$C$14,0)</f>
        <v>0</v>
      </c>
      <c r="U16" s="93">
        <f>IF(AND(B16=B17,NOT($B16=0),NOT(F16=F17)),'Point Schedule'!$C$11,0)</f>
        <v>0</v>
      </c>
      <c r="V16" s="761"/>
      <c r="Y16" s="178"/>
      <c r="Z16" s="179"/>
      <c r="AA16" s="175">
        <f t="shared" si="2"/>
        <v>0</v>
      </c>
      <c r="AB16" s="176">
        <f t="shared" si="3"/>
        <v>0</v>
      </c>
      <c r="AC16" s="177">
        <f t="shared" si="0"/>
        <v>0</v>
      </c>
      <c r="AD16" s="176">
        <f t="shared" si="1"/>
        <v>0</v>
      </c>
    </row>
    <row r="17" spans="1:30" ht="20.149999999999999" customHeight="1" x14ac:dyDescent="0.6">
      <c r="A17" s="387"/>
      <c r="B17" s="286"/>
      <c r="C17" s="800"/>
      <c r="D17" s="801"/>
      <c r="E17" s="287"/>
      <c r="F17" s="288"/>
      <c r="G17" s="288"/>
      <c r="H17" s="288"/>
      <c r="I17" s="288"/>
      <c r="J17" s="288"/>
      <c r="K17" s="288"/>
      <c r="L17" s="102">
        <f>IF(AND($H17="1st",$E17="Novice"),'Point Schedule'!$C$4,IF(AND($H17="2nd",$E17="Novice"),'Point Schedule'!$C$5,IF(AND($H17="3rd",$E17="Novice"),'Point Schedule'!$C$6,IF(AND($H17="4th",$E17="Novice"),'Point Schedule'!$C$7,0))))</f>
        <v>0</v>
      </c>
      <c r="M17" s="102">
        <f>IF(AND($H17="1st",$E17="Open"),'Point Schedule'!$E$4,IF(AND($H17="2nd",$E17="Open"),'Point Schedule'!$E$5,IF(AND($H17="3rd",$E17="Open"),'Point Schedule'!$E$6,IF(AND($H17="4th",$E17="Open"),'Point Schedule'!$E$7,0))))</f>
        <v>0</v>
      </c>
      <c r="N17" s="102">
        <f>IF(AND($H17="1st",$E17="Excellent"),'Point Schedule'!$G$4,IF(AND($H17="2nd",$E17="Excellent"),'Point Schedule'!$G$5,IF(AND($H17="3rd",$E17="Excellent"),'Point Schedule'!$G$6,IF(AND($H17="4th",$E17="Excellent"),'Point Schedule'!$G$7,0))))</f>
        <v>0</v>
      </c>
      <c r="O17" s="102">
        <f>IF(AND($H17="1st",$E17="Masters"),'Point Schedule'!$I$4,IF(AND($H17="2nd",$E17="Masters"),'Point Schedule'!$I$5,IF(AND($H17="3rd",$E17="Masters"),'Point Schedule'!$I$6,IF(AND($H17="4th",$E17="Masters"),'Point Schedule'!$I$7,0))))</f>
        <v>0</v>
      </c>
      <c r="P17" s="102">
        <f>IF(AND($H17="1st",$E17="Premier"),'Point Schedule'!$H$4,IF(AND($H17="2nd",$E17="Premier"),'Point Schedule'!$H$5,IF(AND($H17="3rd",$E17="Premier"),'Point Schedule'!$H$6,IF(AND($H17="4th",$E17="Premier"),'Point Schedule'!$H$7,0))))</f>
        <v>0</v>
      </c>
      <c r="Q17" s="102">
        <f>IF(AND(E17="Novice",G17="Yes"),'Point Schedule'!$C$9,IF(AND(E17="Open",G17="Yes"),'Point Schedule'!$E$9,IF(AND(E17="T2B",G17="Yes"),'Point Schedule'!$E$9,IF(AND(E17="Excellent",G17="Yes"),'Point Schedule'!$G$9,IF(AND(E17="Masters",G17="YES"),'Point Schedule'!$I$9,IF(AND(E17="Premier",G17="YES"),'Point Schedule'!$H$9,0))))))</f>
        <v>0</v>
      </c>
      <c r="R17" s="104">
        <f>IF(I17="Yes",'Point Schedule'!$C$12,0)</f>
        <v>0</v>
      </c>
      <c r="S17" s="104">
        <f>IF(J17="Yes",'Point Schedule'!$C$13,0)</f>
        <v>0</v>
      </c>
      <c r="T17" s="104">
        <f>IF(K17="Yes",'Point Schedule'!$C$14,0)</f>
        <v>0</v>
      </c>
      <c r="U17" s="93">
        <f>IF(AND(B17=B18,NOT($B17=0),NOT(F17=F18)),'Point Schedule'!$C$11,0)</f>
        <v>0</v>
      </c>
      <c r="V17" s="761"/>
      <c r="W17" s="42"/>
      <c r="Y17" s="178"/>
      <c r="Z17" s="179"/>
      <c r="AA17" s="175">
        <f t="shared" si="2"/>
        <v>0</v>
      </c>
      <c r="AB17" s="176">
        <f t="shared" si="3"/>
        <v>0</v>
      </c>
      <c r="AC17" s="177">
        <f t="shared" si="0"/>
        <v>0</v>
      </c>
      <c r="AD17" s="176">
        <f t="shared" si="1"/>
        <v>0</v>
      </c>
    </row>
    <row r="18" spans="1:30" ht="20.149999999999999" customHeight="1" x14ac:dyDescent="0.6">
      <c r="A18" s="387"/>
      <c r="B18" s="286"/>
      <c r="C18" s="800"/>
      <c r="D18" s="801"/>
      <c r="E18" s="287"/>
      <c r="F18" s="288"/>
      <c r="G18" s="288"/>
      <c r="H18" s="288"/>
      <c r="I18" s="288"/>
      <c r="J18" s="288"/>
      <c r="K18" s="288"/>
      <c r="L18" s="102">
        <f>IF(AND($H18="1st",$E18="Novice"),'Point Schedule'!$C$4,IF(AND($H18="2nd",$E18="Novice"),'Point Schedule'!$C$5,IF(AND($H18="3rd",$E18="Novice"),'Point Schedule'!$C$6,IF(AND($H18="4th",$E18="Novice"),'Point Schedule'!$C$7,0))))</f>
        <v>0</v>
      </c>
      <c r="M18" s="102">
        <f>IF(AND($H18="1st",$E18="Open"),'Point Schedule'!$E$4,IF(AND($H18="2nd",$E18="Open"),'Point Schedule'!$E$5,IF(AND($H18="3rd",$E18="Open"),'Point Schedule'!$E$6,IF(AND($H18="4th",$E18="Open"),'Point Schedule'!$E$7,0))))</f>
        <v>0</v>
      </c>
      <c r="N18" s="102">
        <f>IF(AND($H18="1st",$E18="Excellent"),'Point Schedule'!$G$4,IF(AND($H18="2nd",$E18="Excellent"),'Point Schedule'!$G$5,IF(AND($H18="3rd",$E18="Excellent"),'Point Schedule'!$G$6,IF(AND($H18="4th",$E18="Excellent"),'Point Schedule'!$G$7,0))))</f>
        <v>0</v>
      </c>
      <c r="O18" s="102">
        <f>IF(AND($H18="1st",$E18="Masters"),'Point Schedule'!$I$4,IF(AND($H18="2nd",$E18="Masters"),'Point Schedule'!$I$5,IF(AND($H18="3rd",$E18="Masters"),'Point Schedule'!$I$6,IF(AND($H18="4th",$E18="Masters"),'Point Schedule'!$I$7,0))))</f>
        <v>0</v>
      </c>
      <c r="P18" s="102">
        <f>IF(AND($H18="1st",$E18="Premier"),'Point Schedule'!$H$4,IF(AND($H18="2nd",$E18="Premier"),'Point Schedule'!$H$5,IF(AND($H18="3rd",$E18="Premier"),'Point Schedule'!$H$6,IF(AND($H18="4th",$E18="Premier"),'Point Schedule'!$H$7,0))))</f>
        <v>0</v>
      </c>
      <c r="Q18" s="102">
        <f>IF(AND(E18="Novice",G18="Yes"),'Point Schedule'!$C$9,IF(AND(E18="Open",G18="Yes"),'Point Schedule'!$E$9,IF(AND(E18="T2B",G18="Yes"),'Point Schedule'!$E$9,IF(AND(E18="Excellent",G18="Yes"),'Point Schedule'!$G$9,IF(AND(E18="Masters",G18="YES"),'Point Schedule'!$I$9,IF(AND(E18="Premier",G18="YES"),'Point Schedule'!$H$9,0))))))</f>
        <v>0</v>
      </c>
      <c r="R18" s="104">
        <f>IF(I18="Yes",'Point Schedule'!$C$12,0)</f>
        <v>0</v>
      </c>
      <c r="S18" s="104">
        <f>IF(J18="Yes",'Point Schedule'!$C$13,0)</f>
        <v>0</v>
      </c>
      <c r="T18" s="104">
        <f>IF(K18="Yes",'Point Schedule'!$C$14,0)</f>
        <v>0</v>
      </c>
      <c r="U18" s="93">
        <f>IF(AND(B18=B19,NOT($B18=0),NOT(F18=F19)),'Point Schedule'!$C$11,0)</f>
        <v>0</v>
      </c>
      <c r="V18" s="761"/>
      <c r="Y18" s="178"/>
      <c r="Z18" s="179"/>
      <c r="AA18" s="175">
        <f t="shared" si="2"/>
        <v>0</v>
      </c>
      <c r="AB18" s="176">
        <f t="shared" si="3"/>
        <v>0</v>
      </c>
      <c r="AC18" s="177">
        <f t="shared" si="0"/>
        <v>0</v>
      </c>
      <c r="AD18" s="176">
        <f t="shared" si="1"/>
        <v>0</v>
      </c>
    </row>
    <row r="19" spans="1:30" ht="20.149999999999999" customHeight="1" x14ac:dyDescent="0.6">
      <c r="A19" s="387"/>
      <c r="B19" s="286"/>
      <c r="C19" s="800"/>
      <c r="D19" s="801"/>
      <c r="E19" s="287"/>
      <c r="F19" s="288"/>
      <c r="G19" s="288"/>
      <c r="H19" s="288"/>
      <c r="I19" s="288"/>
      <c r="J19" s="288"/>
      <c r="K19" s="288"/>
      <c r="L19" s="102">
        <f>IF(AND($H19="1st",$E19="Novice"),'Point Schedule'!$C$4,IF(AND($H19="2nd",$E19="Novice"),'Point Schedule'!$C$5,IF(AND($H19="3rd",$E19="Novice"),'Point Schedule'!$C$6,IF(AND($H19="4th",$E19="Novice"),'Point Schedule'!$C$7,0))))</f>
        <v>0</v>
      </c>
      <c r="M19" s="102">
        <f>IF(AND($H19="1st",$E19="Open"),'Point Schedule'!$E$4,IF(AND($H19="2nd",$E19="Open"),'Point Schedule'!$E$5,IF(AND($H19="3rd",$E19="Open"),'Point Schedule'!$E$6,IF(AND($H19="4th",$E19="Open"),'Point Schedule'!$E$7,0))))</f>
        <v>0</v>
      </c>
      <c r="N19" s="102">
        <f>IF(AND($H19="1st",$E19="Excellent"),'Point Schedule'!$G$4,IF(AND($H19="2nd",$E19="Excellent"),'Point Schedule'!$G$5,IF(AND($H19="3rd",$E19="Excellent"),'Point Schedule'!$G$6,IF(AND($H19="4th",$E19="Excellent"),'Point Schedule'!$G$7,0))))</f>
        <v>0</v>
      </c>
      <c r="O19" s="102">
        <f>IF(AND($H19="1st",$E19="Masters"),'Point Schedule'!$I$4,IF(AND($H19="2nd",$E19="Masters"),'Point Schedule'!$I$5,IF(AND($H19="3rd",$E19="Masters"),'Point Schedule'!$I$6,IF(AND($H19="4th",$E19="Masters"),'Point Schedule'!$I$7,0))))</f>
        <v>0</v>
      </c>
      <c r="P19" s="102">
        <f>IF(AND($H19="1st",$E19="Premier"),'Point Schedule'!$H$4,IF(AND($H19="2nd",$E19="Premier"),'Point Schedule'!$H$5,IF(AND($H19="3rd",$E19="Premier"),'Point Schedule'!$H$6,IF(AND($H19="4th",$E19="Premier"),'Point Schedule'!$H$7,0))))</f>
        <v>0</v>
      </c>
      <c r="Q19" s="102">
        <f>IF(AND(E19="Novice",G19="Yes"),'Point Schedule'!$C$9,IF(AND(E19="Open",G19="Yes"),'Point Schedule'!$E$9,IF(AND(E19="T2B",G19="Yes"),'Point Schedule'!$E$9,IF(AND(E19="Excellent",G19="Yes"),'Point Schedule'!$G$9,IF(AND(E19="Masters",G19="YES"),'Point Schedule'!$I$9,IF(AND(E19="Premier",G19="YES"),'Point Schedule'!$H$9,0))))))</f>
        <v>0</v>
      </c>
      <c r="R19" s="104">
        <f>IF(I19="Yes",'Point Schedule'!$C$12,0)</f>
        <v>0</v>
      </c>
      <c r="S19" s="104">
        <f>IF(J19="Yes",'Point Schedule'!$C$13,0)</f>
        <v>0</v>
      </c>
      <c r="T19" s="104">
        <f>IF(K19="Yes",'Point Schedule'!$C$14,0)</f>
        <v>0</v>
      </c>
      <c r="U19" s="93">
        <f>IF(AND(B19=B20,NOT($B19=0),NOT(F19=F20)),'Point Schedule'!$C$11,0)</f>
        <v>0</v>
      </c>
      <c r="V19" s="761"/>
      <c r="Y19" s="178"/>
      <c r="Z19" s="179"/>
      <c r="AA19" s="175">
        <f t="shared" si="2"/>
        <v>0</v>
      </c>
      <c r="AB19" s="176">
        <f t="shared" si="3"/>
        <v>0</v>
      </c>
      <c r="AC19" s="177">
        <f t="shared" si="0"/>
        <v>0</v>
      </c>
      <c r="AD19" s="176">
        <f t="shared" si="1"/>
        <v>0</v>
      </c>
    </row>
    <row r="20" spans="1:30" ht="20.149999999999999" customHeight="1" x14ac:dyDescent="0.6">
      <c r="A20" s="387"/>
      <c r="B20" s="286"/>
      <c r="C20" s="800"/>
      <c r="D20" s="801"/>
      <c r="E20" s="287"/>
      <c r="F20" s="288"/>
      <c r="G20" s="288"/>
      <c r="H20" s="288"/>
      <c r="I20" s="288"/>
      <c r="J20" s="288"/>
      <c r="K20" s="288"/>
      <c r="L20" s="102">
        <f>IF(AND($H20="1st",$E20="Novice"),'Point Schedule'!$C$4,IF(AND($H20="2nd",$E20="Novice"),'Point Schedule'!$C$5,IF(AND($H20="3rd",$E20="Novice"),'Point Schedule'!$C$6,IF(AND($H20="4th",$E20="Novice"),'Point Schedule'!$C$7,0))))</f>
        <v>0</v>
      </c>
      <c r="M20" s="102">
        <f>IF(AND($H20="1st",$E20="Open"),'Point Schedule'!$E$4,IF(AND($H20="2nd",$E20="Open"),'Point Schedule'!$E$5,IF(AND($H20="3rd",$E20="Open"),'Point Schedule'!$E$6,IF(AND($H20="4th",$E20="Open"),'Point Schedule'!$E$7,0))))</f>
        <v>0</v>
      </c>
      <c r="N20" s="102">
        <f>IF(AND($H20="1st",$E20="Excellent"),'Point Schedule'!$G$4,IF(AND($H20="2nd",$E20="Excellent"),'Point Schedule'!$G$5,IF(AND($H20="3rd",$E20="Excellent"),'Point Schedule'!$G$6,IF(AND($H20="4th",$E20="Excellent"),'Point Schedule'!$G$7,0))))</f>
        <v>0</v>
      </c>
      <c r="O20" s="102">
        <f>IF(AND($H20="1st",$E20="Masters"),'Point Schedule'!$I$4,IF(AND($H20="2nd",$E20="Masters"),'Point Schedule'!$I$5,IF(AND($H20="3rd",$E20="Masters"),'Point Schedule'!$I$6,IF(AND($H20="4th",$E20="Masters"),'Point Schedule'!$I$7,0))))</f>
        <v>0</v>
      </c>
      <c r="P20" s="102">
        <f>IF(AND($H20="1st",$E20="Premier"),'Point Schedule'!$H$4,IF(AND($H20="2nd",$E20="Premier"),'Point Schedule'!$H$5,IF(AND($H20="3rd",$E20="Premier"),'Point Schedule'!$H$6,IF(AND($H20="4th",$E20="Premier"),'Point Schedule'!$H$7,0))))</f>
        <v>0</v>
      </c>
      <c r="Q20" s="102">
        <f>IF(AND(E20="Novice",G20="Yes"),'Point Schedule'!$C$9,IF(AND(E20="Open",G20="Yes"),'Point Schedule'!$E$9,IF(AND(E20="T2B",G20="Yes"),'Point Schedule'!$E$9,IF(AND(E20="Excellent",G20="Yes"),'Point Schedule'!$G$9,IF(AND(E20="Masters",G20="YES"),'Point Schedule'!$I$9,IF(AND(E20="Premier",G20="YES"),'Point Schedule'!$H$9,0))))))</f>
        <v>0</v>
      </c>
      <c r="R20" s="104">
        <f>IF(I20="Yes",'Point Schedule'!$C$12,0)</f>
        <v>0</v>
      </c>
      <c r="S20" s="104">
        <f>IF(J20="Yes",'Point Schedule'!$C$13,0)</f>
        <v>0</v>
      </c>
      <c r="T20" s="104">
        <f>IF(K20="Yes",'Point Schedule'!$C$14,0)</f>
        <v>0</v>
      </c>
      <c r="U20" s="93">
        <f>IF(AND(B20=B21,NOT($B20=0),NOT(F20=F21)),'Point Schedule'!$C$11,0)</f>
        <v>0</v>
      </c>
      <c r="V20" s="761"/>
      <c r="W20" s="42"/>
      <c r="Y20" s="178"/>
      <c r="Z20" s="179"/>
      <c r="AA20" s="175">
        <f t="shared" si="2"/>
        <v>0</v>
      </c>
      <c r="AB20" s="176">
        <f t="shared" si="3"/>
        <v>0</v>
      </c>
      <c r="AC20" s="177">
        <f t="shared" si="0"/>
        <v>0</v>
      </c>
      <c r="AD20" s="176">
        <f t="shared" si="1"/>
        <v>0</v>
      </c>
    </row>
    <row r="21" spans="1:30" ht="20.149999999999999" customHeight="1" x14ac:dyDescent="0.6">
      <c r="A21" s="387"/>
      <c r="B21" s="286"/>
      <c r="C21" s="800"/>
      <c r="D21" s="801"/>
      <c r="E21" s="287"/>
      <c r="F21" s="288"/>
      <c r="G21" s="288"/>
      <c r="H21" s="288"/>
      <c r="I21" s="288"/>
      <c r="J21" s="288"/>
      <c r="K21" s="288"/>
      <c r="L21" s="102">
        <f>IF(AND($H21="1st",$E21="Novice"),'Point Schedule'!$C$4,IF(AND($H21="2nd",$E21="Novice"),'Point Schedule'!$C$5,IF(AND($H21="3rd",$E21="Novice"),'Point Schedule'!$C$6,IF(AND($H21="4th",$E21="Novice"),'Point Schedule'!$C$7,0))))</f>
        <v>0</v>
      </c>
      <c r="M21" s="102">
        <f>IF(AND($H21="1st",$E21="Open"),'Point Schedule'!$E$4,IF(AND($H21="2nd",$E21="Open"),'Point Schedule'!$E$5,IF(AND($H21="3rd",$E21="Open"),'Point Schedule'!$E$6,IF(AND($H21="4th",$E21="Open"),'Point Schedule'!$E$7,0))))</f>
        <v>0</v>
      </c>
      <c r="N21" s="102">
        <f>IF(AND($H21="1st",$E21="Excellent"),'Point Schedule'!$G$4,IF(AND($H21="2nd",$E21="Excellent"),'Point Schedule'!$G$5,IF(AND($H21="3rd",$E21="Excellent"),'Point Schedule'!$G$6,IF(AND($H21="4th",$E21="Excellent"),'Point Schedule'!$G$7,0))))</f>
        <v>0</v>
      </c>
      <c r="O21" s="102">
        <f>IF(AND($H21="1st",$E21="Masters"),'Point Schedule'!$I$4,IF(AND($H21="2nd",$E21="Masters"),'Point Schedule'!$I$5,IF(AND($H21="3rd",$E21="Masters"),'Point Schedule'!$I$6,IF(AND($H21="4th",$E21="Masters"),'Point Schedule'!$I$7,0))))</f>
        <v>0</v>
      </c>
      <c r="P21" s="102">
        <f>IF(AND($H21="1st",$E21="Premier"),'Point Schedule'!$H$4,IF(AND($H21="2nd",$E21="Premier"),'Point Schedule'!$H$5,IF(AND($H21="3rd",$E21="Premier"),'Point Schedule'!$H$6,IF(AND($H21="4th",$E21="Premier"),'Point Schedule'!$H$7,0))))</f>
        <v>0</v>
      </c>
      <c r="Q21" s="102">
        <f>IF(AND(E21="Novice",G21="Yes"),'Point Schedule'!$C$9,IF(AND(E21="Open",G21="Yes"),'Point Schedule'!$E$9,IF(AND(E21="T2B",G21="Yes"),'Point Schedule'!$E$9,IF(AND(E21="Excellent",G21="Yes"),'Point Schedule'!$G$9,IF(AND(E21="Masters",G21="YES"),'Point Schedule'!$I$9,IF(AND(E21="Premier",G21="YES"),'Point Schedule'!$H$9,0))))))</f>
        <v>0</v>
      </c>
      <c r="R21" s="104">
        <f>IF(I21="Yes",'Point Schedule'!$C$12,0)</f>
        <v>0</v>
      </c>
      <c r="S21" s="104">
        <f>IF(J21="Yes",'Point Schedule'!$C$13,0)</f>
        <v>0</v>
      </c>
      <c r="T21" s="104">
        <f>IF(K21="Yes",'Point Schedule'!$C$14,0)</f>
        <v>0</v>
      </c>
      <c r="U21" s="93">
        <f>IF(AND(B21=B22,NOT($B21=0),NOT(F21=F22)),'Point Schedule'!$C$11,0)</f>
        <v>0</v>
      </c>
      <c r="V21" s="761"/>
      <c r="Y21" s="178"/>
      <c r="Z21" s="179"/>
      <c r="AA21" s="175">
        <f t="shared" si="2"/>
        <v>0</v>
      </c>
      <c r="AB21" s="176">
        <f t="shared" si="3"/>
        <v>0</v>
      </c>
      <c r="AC21" s="177">
        <f t="shared" si="0"/>
        <v>0</v>
      </c>
      <c r="AD21" s="176">
        <f t="shared" si="1"/>
        <v>0</v>
      </c>
    </row>
    <row r="22" spans="1:30" ht="20.149999999999999" customHeight="1" x14ac:dyDescent="0.6">
      <c r="A22" s="387"/>
      <c r="B22" s="286"/>
      <c r="C22" s="800"/>
      <c r="D22" s="801"/>
      <c r="E22" s="287"/>
      <c r="F22" s="288"/>
      <c r="G22" s="288"/>
      <c r="H22" s="288"/>
      <c r="I22" s="288"/>
      <c r="J22" s="288"/>
      <c r="K22" s="288"/>
      <c r="L22" s="102">
        <f>IF(AND($H22="1st",$E22="Novice"),'Point Schedule'!$C$4,IF(AND($H22="2nd",$E22="Novice"),'Point Schedule'!$C$5,IF(AND($H22="3rd",$E22="Novice"),'Point Schedule'!$C$6,IF(AND($H22="4th",$E22="Novice"),'Point Schedule'!$C$7,0))))</f>
        <v>0</v>
      </c>
      <c r="M22" s="102">
        <f>IF(AND($H22="1st",$E22="Open"),'Point Schedule'!$E$4,IF(AND($H22="2nd",$E22="Open"),'Point Schedule'!$E$5,IF(AND($H22="3rd",$E22="Open"),'Point Schedule'!$E$6,IF(AND($H22="4th",$E22="Open"),'Point Schedule'!$E$7,0))))</f>
        <v>0</v>
      </c>
      <c r="N22" s="102">
        <f>IF(AND($H22="1st",$E22="Excellent"),'Point Schedule'!$G$4,IF(AND($H22="2nd",$E22="Excellent"),'Point Schedule'!$G$5,IF(AND($H22="3rd",$E22="Excellent"),'Point Schedule'!$G$6,IF(AND($H22="4th",$E22="Excellent"),'Point Schedule'!$G$7,0))))</f>
        <v>0</v>
      </c>
      <c r="O22" s="102">
        <f>IF(AND($H22="1st",$E22="Masters"),'Point Schedule'!$I$4,IF(AND($H22="2nd",$E22="Masters"),'Point Schedule'!$I$5,IF(AND($H22="3rd",$E22="Masters"),'Point Schedule'!$I$6,IF(AND($H22="4th",$E22="Masters"),'Point Schedule'!$I$7,0))))</f>
        <v>0</v>
      </c>
      <c r="P22" s="102">
        <f>IF(AND($H22="1st",$E22="Premier"),'Point Schedule'!$H$4,IF(AND($H22="2nd",$E22="Premier"),'Point Schedule'!$H$5,IF(AND($H22="3rd",$E22="Premier"),'Point Schedule'!$H$6,IF(AND($H22="4th",$E22="Premier"),'Point Schedule'!$H$7,0))))</f>
        <v>0</v>
      </c>
      <c r="Q22" s="102">
        <f>IF(AND(E22="Novice",G22="Yes"),'Point Schedule'!$C$9,IF(AND(E22="Open",G22="Yes"),'Point Schedule'!$E$9,IF(AND(E22="T2B",G22="Yes"),'Point Schedule'!$E$9,IF(AND(E22="Excellent",G22="Yes"),'Point Schedule'!$G$9,IF(AND(E22="Masters",G22="YES"),'Point Schedule'!$I$9,IF(AND(E22="Premier",G22="YES"),'Point Schedule'!$H$9,0))))))</f>
        <v>0</v>
      </c>
      <c r="R22" s="104">
        <f>IF(I22="Yes",'Point Schedule'!$C$12,0)</f>
        <v>0</v>
      </c>
      <c r="S22" s="104">
        <f>IF(J22="Yes",'Point Schedule'!$C$13,0)</f>
        <v>0</v>
      </c>
      <c r="T22" s="104">
        <f>IF(K22="Yes",'Point Schedule'!$C$14,0)</f>
        <v>0</v>
      </c>
      <c r="U22" s="93">
        <f>IF(AND(B22=B23,NOT($B22=0),NOT(F22=F23)),'Point Schedule'!$C$11,0)</f>
        <v>0</v>
      </c>
      <c r="V22" s="761"/>
      <c r="Y22" s="178"/>
      <c r="Z22" s="179"/>
      <c r="AA22" s="175">
        <f t="shared" si="2"/>
        <v>0</v>
      </c>
      <c r="AB22" s="176">
        <f t="shared" si="3"/>
        <v>0</v>
      </c>
      <c r="AC22" s="177">
        <f t="shared" si="0"/>
        <v>0</v>
      </c>
      <c r="AD22" s="176">
        <f t="shared" si="1"/>
        <v>0</v>
      </c>
    </row>
    <row r="23" spans="1:30" ht="20.149999999999999" customHeight="1" x14ac:dyDescent="0.6">
      <c r="A23" s="387"/>
      <c r="B23" s="286"/>
      <c r="C23" s="800"/>
      <c r="D23" s="801"/>
      <c r="E23" s="287"/>
      <c r="F23" s="288"/>
      <c r="G23" s="288"/>
      <c r="H23" s="288"/>
      <c r="I23" s="288"/>
      <c r="J23" s="288"/>
      <c r="K23" s="288"/>
      <c r="L23" s="102">
        <f>IF(AND($H23="1st",$E23="Novice"),'Point Schedule'!$C$4,IF(AND($H23="2nd",$E23="Novice"),'Point Schedule'!$C$5,IF(AND($H23="3rd",$E23="Novice"),'Point Schedule'!$C$6,IF(AND($H23="4th",$E23="Novice"),'Point Schedule'!$C$7,0))))</f>
        <v>0</v>
      </c>
      <c r="M23" s="102">
        <f>IF(AND($H23="1st",$E23="Open"),'Point Schedule'!$E$4,IF(AND($H23="2nd",$E23="Open"),'Point Schedule'!$E$5,IF(AND($H23="3rd",$E23="Open"),'Point Schedule'!$E$6,IF(AND($H23="4th",$E23="Open"),'Point Schedule'!$E$7,0))))</f>
        <v>0</v>
      </c>
      <c r="N23" s="102">
        <f>IF(AND($H23="1st",$E23="Excellent"),'Point Schedule'!$G$4,IF(AND($H23="2nd",$E23="Excellent"),'Point Schedule'!$G$5,IF(AND($H23="3rd",$E23="Excellent"),'Point Schedule'!$G$6,IF(AND($H23="4th",$E23="Excellent"),'Point Schedule'!$G$7,0))))</f>
        <v>0</v>
      </c>
      <c r="O23" s="102">
        <f>IF(AND($H23="1st",$E23="Masters"),'Point Schedule'!$I$4,IF(AND($H23="2nd",$E23="Masters"),'Point Schedule'!$I$5,IF(AND($H23="3rd",$E23="Masters"),'Point Schedule'!$I$6,IF(AND($H23="4th",$E23="Masters"),'Point Schedule'!$I$7,0))))</f>
        <v>0</v>
      </c>
      <c r="P23" s="102">
        <f>IF(AND($H23="1st",$E23="Premier"),'Point Schedule'!$H$4,IF(AND($H23="2nd",$E23="Premier"),'Point Schedule'!$H$5,IF(AND($H23="3rd",$E23="Premier"),'Point Schedule'!$H$6,IF(AND($H23="4th",$E23="Premier"),'Point Schedule'!$H$7,0))))</f>
        <v>0</v>
      </c>
      <c r="Q23" s="102">
        <f>IF(AND(E23="Novice",G23="Yes"),'Point Schedule'!$C$9,IF(AND(E23="Open",G23="Yes"),'Point Schedule'!$E$9,IF(AND(E23="T2B",G23="Yes"),'Point Schedule'!$E$9,IF(AND(E23="Excellent",G23="Yes"),'Point Schedule'!$G$9,IF(AND(E23="Masters",G23="YES"),'Point Schedule'!$I$9,IF(AND(E23="Premier",G23="YES"),'Point Schedule'!$H$9,0))))))</f>
        <v>0</v>
      </c>
      <c r="R23" s="104">
        <f>IF(I23="Yes",'Point Schedule'!$C$12,0)</f>
        <v>0</v>
      </c>
      <c r="S23" s="104">
        <f>IF(J23="Yes",'Point Schedule'!$C$13,0)</f>
        <v>0</v>
      </c>
      <c r="T23" s="104">
        <f>IF(K23="Yes",'Point Schedule'!$C$14,0)</f>
        <v>0</v>
      </c>
      <c r="U23" s="93">
        <f>IF(AND(B23=B24,NOT($B23=0),NOT(F23=F24)),'Point Schedule'!$C$11,0)</f>
        <v>0</v>
      </c>
      <c r="V23" s="761"/>
      <c r="W23" s="42"/>
      <c r="Y23" s="178"/>
      <c r="Z23" s="179"/>
      <c r="AA23" s="175">
        <f t="shared" si="2"/>
        <v>0</v>
      </c>
      <c r="AB23" s="176">
        <f t="shared" si="3"/>
        <v>0</v>
      </c>
      <c r="AC23" s="177">
        <f t="shared" si="0"/>
        <v>0</v>
      </c>
      <c r="AD23" s="176">
        <f t="shared" si="1"/>
        <v>0</v>
      </c>
    </row>
    <row r="24" spans="1:30" ht="20.149999999999999" customHeight="1" x14ac:dyDescent="0.6">
      <c r="A24" s="387"/>
      <c r="B24" s="286"/>
      <c r="C24" s="800"/>
      <c r="D24" s="801"/>
      <c r="E24" s="287"/>
      <c r="F24" s="288"/>
      <c r="G24" s="288"/>
      <c r="H24" s="288"/>
      <c r="I24" s="288"/>
      <c r="J24" s="288"/>
      <c r="K24" s="288"/>
      <c r="L24" s="102">
        <f>IF(AND($H24="1st",$E24="Novice"),'Point Schedule'!$C$4,IF(AND($H24="2nd",$E24="Novice"),'Point Schedule'!$C$5,IF(AND($H24="3rd",$E24="Novice"),'Point Schedule'!$C$6,IF(AND($H24="4th",$E24="Novice"),'Point Schedule'!$C$7,0))))</f>
        <v>0</v>
      </c>
      <c r="M24" s="102">
        <f>IF(AND($H24="1st",$E24="Open"),'Point Schedule'!$E$4,IF(AND($H24="2nd",$E24="Open"),'Point Schedule'!$E$5,IF(AND($H24="3rd",$E24="Open"),'Point Schedule'!$E$6,IF(AND($H24="4th",$E24="Open"),'Point Schedule'!$E$7,0))))</f>
        <v>0</v>
      </c>
      <c r="N24" s="102">
        <f>IF(AND($H24="1st",$E24="Excellent"),'Point Schedule'!$G$4,IF(AND($H24="2nd",$E24="Excellent"),'Point Schedule'!$G$5,IF(AND($H24="3rd",$E24="Excellent"),'Point Schedule'!$G$6,IF(AND($H24="4th",$E24="Excellent"),'Point Schedule'!$G$7,0))))</f>
        <v>0</v>
      </c>
      <c r="O24" s="102">
        <f>IF(AND($H24="1st",$E24="Masters"),'Point Schedule'!$I$4,IF(AND($H24="2nd",$E24="Masters"),'Point Schedule'!$I$5,IF(AND($H24="3rd",$E24="Masters"),'Point Schedule'!$I$6,IF(AND($H24="4th",$E24="Masters"),'Point Schedule'!$I$7,0))))</f>
        <v>0</v>
      </c>
      <c r="P24" s="102">
        <f>IF(AND($H24="1st",$E24="Premier"),'Point Schedule'!$H$4,IF(AND($H24="2nd",$E24="Premier"),'Point Schedule'!$H$5,IF(AND($H24="3rd",$E24="Premier"),'Point Schedule'!$H$6,IF(AND($H24="4th",$E24="Premier"),'Point Schedule'!$H$7,0))))</f>
        <v>0</v>
      </c>
      <c r="Q24" s="102">
        <f>IF(AND(E24="Novice",G24="Yes"),'Point Schedule'!$C$9,IF(AND(E24="Open",G24="Yes"),'Point Schedule'!$E$9,IF(AND(E24="T2B",G24="Yes"),'Point Schedule'!$E$9,IF(AND(E24="Excellent",G24="Yes"),'Point Schedule'!$G$9,IF(AND(E24="Masters",G24="YES"),'Point Schedule'!$I$9,IF(AND(E24="Premier",G24="YES"),'Point Schedule'!$H$9,0))))))</f>
        <v>0</v>
      </c>
      <c r="R24" s="104">
        <f>IF(I24="Yes",'Point Schedule'!$C$12,0)</f>
        <v>0</v>
      </c>
      <c r="S24" s="104">
        <f>IF(J24="Yes",'Point Schedule'!$C$13,0)</f>
        <v>0</v>
      </c>
      <c r="T24" s="104">
        <f>IF(K24="Yes",'Point Schedule'!$C$14,0)</f>
        <v>0</v>
      </c>
      <c r="U24" s="93">
        <f>IF(AND(B24=B25,NOT($B24=0),NOT(F24=F25)),'Point Schedule'!$C$11,0)</f>
        <v>0</v>
      </c>
      <c r="V24" s="761"/>
      <c r="Y24" s="178"/>
      <c r="Z24" s="179"/>
      <c r="AA24" s="175">
        <f t="shared" si="2"/>
        <v>0</v>
      </c>
      <c r="AB24" s="176">
        <f t="shared" si="3"/>
        <v>0</v>
      </c>
      <c r="AC24" s="177">
        <f t="shared" si="0"/>
        <v>0</v>
      </c>
      <c r="AD24" s="176">
        <f t="shared" si="1"/>
        <v>0</v>
      </c>
    </row>
    <row r="25" spans="1:30" ht="20.149999999999999" customHeight="1" x14ac:dyDescent="0.6">
      <c r="A25" s="387"/>
      <c r="B25" s="286"/>
      <c r="C25" s="800"/>
      <c r="D25" s="801"/>
      <c r="E25" s="287"/>
      <c r="F25" s="288"/>
      <c r="G25" s="288"/>
      <c r="H25" s="288"/>
      <c r="I25" s="288"/>
      <c r="J25" s="288"/>
      <c r="K25" s="288"/>
      <c r="L25" s="102">
        <f>IF(AND($H25="1st",$E25="Novice"),'Point Schedule'!$C$4,IF(AND($H25="2nd",$E25="Novice"),'Point Schedule'!$C$5,IF(AND($H25="3rd",$E25="Novice"),'Point Schedule'!$C$6,IF(AND($H25="4th",$E25="Novice"),'Point Schedule'!$C$7,0))))</f>
        <v>0</v>
      </c>
      <c r="M25" s="102">
        <f>IF(AND($H25="1st",$E25="Open"),'Point Schedule'!$E$4,IF(AND($H25="2nd",$E25="Open"),'Point Schedule'!$E$5,IF(AND($H25="3rd",$E25="Open"),'Point Schedule'!$E$6,IF(AND($H25="4th",$E25="Open"),'Point Schedule'!$E$7,0))))</f>
        <v>0</v>
      </c>
      <c r="N25" s="102">
        <f>IF(AND($H25="1st",$E25="Excellent"),'Point Schedule'!$G$4,IF(AND($H25="2nd",$E25="Excellent"),'Point Schedule'!$G$5,IF(AND($H25="3rd",$E25="Excellent"),'Point Schedule'!$G$6,IF(AND($H25="4th",$E25="Excellent"),'Point Schedule'!$G$7,0))))</f>
        <v>0</v>
      </c>
      <c r="O25" s="102">
        <f>IF(AND($H25="1st",$E25="Masters"),'Point Schedule'!$I$4,IF(AND($H25="2nd",$E25="Masters"),'Point Schedule'!$I$5,IF(AND($H25="3rd",$E25="Masters"),'Point Schedule'!$I$6,IF(AND($H25="4th",$E25="Masters"),'Point Schedule'!$I$7,0))))</f>
        <v>0</v>
      </c>
      <c r="P25" s="102">
        <f>IF(AND($H25="1st",$E25="Premier"),'Point Schedule'!$H$4,IF(AND($H25="2nd",$E25="Premier"),'Point Schedule'!$H$5,IF(AND($H25="3rd",$E25="Premier"),'Point Schedule'!$H$6,IF(AND($H25="4th",$E25="Premier"),'Point Schedule'!$H$7,0))))</f>
        <v>0</v>
      </c>
      <c r="Q25" s="102">
        <f>IF(AND(E25="Novice",G25="Yes"),'Point Schedule'!$C$9,IF(AND(E25="Open",G25="Yes"),'Point Schedule'!$E$9,IF(AND(E25="T2B",G25="Yes"),'Point Schedule'!$E$9,IF(AND(E25="Excellent",G25="Yes"),'Point Schedule'!$G$9,IF(AND(E25="Masters",G25="YES"),'Point Schedule'!$I$9,IF(AND(E25="Premier",G25="YES"),'Point Schedule'!$H$9,0))))))</f>
        <v>0</v>
      </c>
      <c r="R25" s="104">
        <f>IF(I25="Yes",'Point Schedule'!$C$12,0)</f>
        <v>0</v>
      </c>
      <c r="S25" s="104">
        <f>IF(J25="Yes",'Point Schedule'!$C$13,0)</f>
        <v>0</v>
      </c>
      <c r="T25" s="104">
        <f>IF(K25="Yes",'Point Schedule'!$C$14,0)</f>
        <v>0</v>
      </c>
      <c r="U25" s="93">
        <f>IF(AND(B25=B26,NOT($B25=0),NOT(F25=F26)),'Point Schedule'!$C$11,0)</f>
        <v>0</v>
      </c>
      <c r="V25" s="761"/>
      <c r="Y25" s="178"/>
      <c r="Z25" s="179"/>
      <c r="AA25" s="175">
        <f t="shared" si="2"/>
        <v>0</v>
      </c>
      <c r="AB25" s="176">
        <f t="shared" si="3"/>
        <v>0</v>
      </c>
      <c r="AC25" s="177">
        <f t="shared" si="0"/>
        <v>0</v>
      </c>
      <c r="AD25" s="176">
        <f t="shared" si="1"/>
        <v>0</v>
      </c>
    </row>
    <row r="26" spans="1:30" ht="20.149999999999999" customHeight="1" x14ac:dyDescent="0.6">
      <c r="A26" s="387"/>
      <c r="B26" s="286"/>
      <c r="C26" s="800"/>
      <c r="D26" s="801"/>
      <c r="E26" s="287"/>
      <c r="F26" s="288"/>
      <c r="G26" s="288"/>
      <c r="H26" s="288"/>
      <c r="I26" s="288"/>
      <c r="J26" s="288"/>
      <c r="K26" s="288"/>
      <c r="L26" s="102">
        <f>IF(AND($H26="1st",$E26="Novice"),'Point Schedule'!$C$4,IF(AND($H26="2nd",$E26="Novice"),'Point Schedule'!$C$5,IF(AND($H26="3rd",$E26="Novice"),'Point Schedule'!$C$6,IF(AND($H26="4th",$E26="Novice"),'Point Schedule'!$C$7,0))))</f>
        <v>0</v>
      </c>
      <c r="M26" s="102">
        <f>IF(AND($H26="1st",$E26="Open"),'Point Schedule'!$E$4,IF(AND($H26="2nd",$E26="Open"),'Point Schedule'!$E$5,IF(AND($H26="3rd",$E26="Open"),'Point Schedule'!$E$6,IF(AND($H26="4th",$E26="Open"),'Point Schedule'!$E$7,0))))</f>
        <v>0</v>
      </c>
      <c r="N26" s="102">
        <f>IF(AND($H26="1st",$E26="Excellent"),'Point Schedule'!$G$4,IF(AND($H26="2nd",$E26="Excellent"),'Point Schedule'!$G$5,IF(AND($H26="3rd",$E26="Excellent"),'Point Schedule'!$G$6,IF(AND($H26="4th",$E26="Excellent"),'Point Schedule'!$G$7,0))))</f>
        <v>0</v>
      </c>
      <c r="O26" s="102">
        <f>IF(AND($H26="1st",$E26="Masters"),'Point Schedule'!$I$4,IF(AND($H26="2nd",$E26="Masters"),'Point Schedule'!$I$5,IF(AND($H26="3rd",$E26="Masters"),'Point Schedule'!$I$6,IF(AND($H26="4th",$E26="Masters"),'Point Schedule'!$I$7,0))))</f>
        <v>0</v>
      </c>
      <c r="P26" s="102">
        <f>IF(AND($H26="1st",$E26="Premier"),'Point Schedule'!$H$4,IF(AND($H26="2nd",$E26="Premier"),'Point Schedule'!$H$5,IF(AND($H26="3rd",$E26="Premier"),'Point Schedule'!$H$6,IF(AND($H26="4th",$E26="Premier"),'Point Schedule'!$H$7,0))))</f>
        <v>0</v>
      </c>
      <c r="Q26" s="102">
        <f>IF(AND(E26="Novice",G26="Yes"),'Point Schedule'!$C$9,IF(AND(E26="Open",G26="Yes"),'Point Schedule'!$E$9,IF(AND(E26="T2B",G26="Yes"),'Point Schedule'!$E$9,IF(AND(E26="Excellent",G26="Yes"),'Point Schedule'!$G$9,IF(AND(E26="Masters",G26="YES"),'Point Schedule'!$I$9,IF(AND(E26="Premier",G26="YES"),'Point Schedule'!$H$9,0))))))</f>
        <v>0</v>
      </c>
      <c r="R26" s="104">
        <f>IF(I26="Yes",'Point Schedule'!$C$12,0)</f>
        <v>0</v>
      </c>
      <c r="S26" s="104">
        <f>IF(J26="Yes",'Point Schedule'!$C$13,0)</f>
        <v>0</v>
      </c>
      <c r="T26" s="104">
        <f>IF(K26="Yes",'Point Schedule'!$C$14,0)</f>
        <v>0</v>
      </c>
      <c r="U26" s="93">
        <f>IF(AND(B26=B27,NOT($B26=0),NOT(F26=F27)),'Point Schedule'!$C$11,0)</f>
        <v>0</v>
      </c>
      <c r="V26" s="761"/>
      <c r="W26" s="42"/>
      <c r="Y26" s="178"/>
      <c r="Z26" s="179"/>
      <c r="AA26" s="175">
        <f t="shared" si="2"/>
        <v>0</v>
      </c>
      <c r="AB26" s="176">
        <f t="shared" si="3"/>
        <v>0</v>
      </c>
      <c r="AC26" s="177">
        <f t="shared" si="0"/>
        <v>0</v>
      </c>
      <c r="AD26" s="176">
        <f t="shared" si="1"/>
        <v>0</v>
      </c>
    </row>
    <row r="27" spans="1:30" ht="20.149999999999999" customHeight="1" x14ac:dyDescent="0.6">
      <c r="A27" s="387"/>
      <c r="B27" s="286"/>
      <c r="C27" s="800"/>
      <c r="D27" s="801"/>
      <c r="E27" s="288"/>
      <c r="F27" s="288"/>
      <c r="G27" s="288"/>
      <c r="H27" s="288"/>
      <c r="I27" s="288"/>
      <c r="J27" s="288"/>
      <c r="K27" s="288"/>
      <c r="L27" s="102">
        <f>IF(AND($H27="1st",$E27="Novice"),'Point Schedule'!$C$4,IF(AND($H27="2nd",$E27="Novice"),'Point Schedule'!$C$5,IF(AND($H27="3rd",$E27="Novice"),'Point Schedule'!$C$6,IF(AND($H27="4th",$E27="Novice"),'Point Schedule'!$C$7,0))))</f>
        <v>0</v>
      </c>
      <c r="M27" s="102">
        <f>IF(AND($H27="1st",$E27="Open"),'Point Schedule'!$E$4,IF(AND($H27="2nd",$E27="Open"),'Point Schedule'!$E$5,IF(AND($H27="3rd",$E27="Open"),'Point Schedule'!$E$6,IF(AND($H27="4th",$E27="Open"),'Point Schedule'!$E$7,0))))</f>
        <v>0</v>
      </c>
      <c r="N27" s="102">
        <f>IF(AND($H27="1st",$E27="Excellent"),'Point Schedule'!$G$4,IF(AND($H27="2nd",$E27="Excellent"),'Point Schedule'!$G$5,IF(AND($H27="3rd",$E27="Excellent"),'Point Schedule'!$G$6,IF(AND($H27="4th",$E27="Excellent"),'Point Schedule'!$G$7,0))))</f>
        <v>0</v>
      </c>
      <c r="O27" s="102">
        <f>IF(AND($H27="1st",$E27="Masters"),'Point Schedule'!$I$4,IF(AND($H27="2nd",$E27="Masters"),'Point Schedule'!$I$5,IF(AND($H27="3rd",$E27="Masters"),'Point Schedule'!$I$6,IF(AND($H27="4th",$E27="Masters"),'Point Schedule'!$I$7,0))))</f>
        <v>0</v>
      </c>
      <c r="P27" s="102">
        <f>IF(AND($H27="1st",$E27="Premier"),'Point Schedule'!$H$4,IF(AND($H27="2nd",$E27="Premier"),'Point Schedule'!$H$5,IF(AND($H27="3rd",$E27="Premier"),'Point Schedule'!$H$6,IF(AND($H27="4th",$E27="Premier"),'Point Schedule'!$H$7,0))))</f>
        <v>0</v>
      </c>
      <c r="Q27" s="102">
        <f>IF(AND(E27="Novice",G27="Yes"),'Point Schedule'!$C$9,IF(AND(E27="Open",G27="Yes"),'Point Schedule'!$E$9,IF(AND(E27="T2B",G27="Yes"),'Point Schedule'!$E$9,IF(AND(E27="Excellent",G27="Yes"),'Point Schedule'!$G$9,IF(AND(E27="Masters",G27="YES"),'Point Schedule'!$I$9,IF(AND(E27="Premier",G27="YES"),'Point Schedule'!$H$9,0))))))</f>
        <v>0</v>
      </c>
      <c r="R27" s="104">
        <f>IF(I27="Yes",'Point Schedule'!$C$12,0)</f>
        <v>0</v>
      </c>
      <c r="S27" s="104">
        <f>IF(J27="Yes",'Point Schedule'!$C$13,0)</f>
        <v>0</v>
      </c>
      <c r="T27" s="104">
        <f>IF(K27="Yes",'Point Schedule'!$C$14,0)</f>
        <v>0</v>
      </c>
      <c r="U27" s="93">
        <f>IF(AND(B27=B28,NOT($B27=0),NOT(F27=F28)),'Point Schedule'!$C$11,0)</f>
        <v>0</v>
      </c>
      <c r="V27" s="761"/>
      <c r="Y27" s="178"/>
      <c r="Z27" s="179"/>
      <c r="AA27" s="175">
        <f t="shared" si="2"/>
        <v>0</v>
      </c>
      <c r="AB27" s="176">
        <f t="shared" si="3"/>
        <v>0</v>
      </c>
      <c r="AC27" s="177">
        <f t="shared" si="0"/>
        <v>0</v>
      </c>
      <c r="AD27" s="176">
        <f t="shared" si="1"/>
        <v>0</v>
      </c>
    </row>
    <row r="28" spans="1:30" ht="20.149999999999999" customHeight="1" x14ac:dyDescent="0.6">
      <c r="A28" s="387"/>
      <c r="B28" s="286"/>
      <c r="C28" s="800"/>
      <c r="D28" s="801"/>
      <c r="E28" s="288"/>
      <c r="F28" s="288"/>
      <c r="G28" s="288"/>
      <c r="H28" s="288"/>
      <c r="I28" s="288"/>
      <c r="J28" s="288"/>
      <c r="K28" s="288"/>
      <c r="L28" s="102">
        <f>IF(AND($H28="1st",$E28="Novice"),'Point Schedule'!$C$4,IF(AND($H28="2nd",$E28="Novice"),'Point Schedule'!$C$5,IF(AND($H28="3rd",$E28="Novice"),'Point Schedule'!$C$6,IF(AND($H28="4th",$E28="Novice"),'Point Schedule'!$C$7,0))))</f>
        <v>0</v>
      </c>
      <c r="M28" s="102">
        <f>IF(AND($H28="1st",$E28="Open"),'Point Schedule'!$E$4,IF(AND($H28="2nd",$E28="Open"),'Point Schedule'!$E$5,IF(AND($H28="3rd",$E28="Open"),'Point Schedule'!$E$6,IF(AND($H28="4th",$E28="Open"),'Point Schedule'!$E$7,0))))</f>
        <v>0</v>
      </c>
      <c r="N28" s="102">
        <f>IF(AND($H28="1st",$E28="Excellent"),'Point Schedule'!$G$4,IF(AND($H28="2nd",$E28="Excellent"),'Point Schedule'!$G$5,IF(AND($H28="3rd",$E28="Excellent"),'Point Schedule'!$G$6,IF(AND($H28="4th",$E28="Excellent"),'Point Schedule'!$G$7,0))))</f>
        <v>0</v>
      </c>
      <c r="O28" s="102">
        <f>IF(AND($H28="1st",$E28="Masters"),'Point Schedule'!$I$4,IF(AND($H28="2nd",$E28="Masters"),'Point Schedule'!$I$5,IF(AND($H28="3rd",$E28="Masters"),'Point Schedule'!$I$6,IF(AND($H28="4th",$E28="Masters"),'Point Schedule'!$I$7,0))))</f>
        <v>0</v>
      </c>
      <c r="P28" s="102">
        <f>IF(AND($H28="1st",$E28="Premier"),'Point Schedule'!$H$4,IF(AND($H28="2nd",$E28="Premier"),'Point Schedule'!$H$5,IF(AND($H28="3rd",$E28="Premier"),'Point Schedule'!$H$6,IF(AND($H28="4th",$E28="Premier"),'Point Schedule'!$H$7,0))))</f>
        <v>0</v>
      </c>
      <c r="Q28" s="102">
        <f>IF(AND(E28="Novice",G28="Yes"),'Point Schedule'!$C$9,IF(AND(E28="Open",G28="Yes"),'Point Schedule'!$E$9,IF(AND(E28="T2B",G28="Yes"),'Point Schedule'!$E$9,IF(AND(E28="Excellent",G28="Yes"),'Point Schedule'!$G$9,IF(AND(E28="Masters",G28="YES"),'Point Schedule'!$I$9,IF(AND(E28="Premier",G28="YES"),'Point Schedule'!$H$9,0))))))</f>
        <v>0</v>
      </c>
      <c r="R28" s="104">
        <f>IF(I28="Yes",'Point Schedule'!$C$12,0)</f>
        <v>0</v>
      </c>
      <c r="S28" s="104">
        <f>IF(J28="Yes",'Point Schedule'!$C$13,0)</f>
        <v>0</v>
      </c>
      <c r="T28" s="104">
        <f>IF(K28="Yes",'Point Schedule'!$C$14,0)</f>
        <v>0</v>
      </c>
      <c r="U28" s="93">
        <f>IF(AND(B28=B29,NOT($B28=0),NOT(F28=F29)),'Point Schedule'!$C$11,0)</f>
        <v>0</v>
      </c>
      <c r="V28" s="761"/>
      <c r="Y28" s="178"/>
      <c r="Z28" s="179"/>
      <c r="AA28" s="175">
        <f t="shared" si="2"/>
        <v>0</v>
      </c>
      <c r="AB28" s="176">
        <f t="shared" si="3"/>
        <v>0</v>
      </c>
      <c r="AC28" s="177">
        <f t="shared" si="0"/>
        <v>0</v>
      </c>
      <c r="AD28" s="176">
        <f t="shared" si="1"/>
        <v>0</v>
      </c>
    </row>
    <row r="29" spans="1:30" ht="20.149999999999999" customHeight="1" x14ac:dyDescent="0.6">
      <c r="A29" s="387"/>
      <c r="B29" s="286"/>
      <c r="C29" s="800"/>
      <c r="D29" s="801"/>
      <c r="E29" s="288"/>
      <c r="F29" s="288"/>
      <c r="G29" s="288"/>
      <c r="H29" s="288"/>
      <c r="I29" s="288"/>
      <c r="J29" s="288"/>
      <c r="K29" s="288"/>
      <c r="L29" s="102">
        <f>IF(AND($H29="1st",$E29="Novice"),'Point Schedule'!$C$4,IF(AND($H29="2nd",$E29="Novice"),'Point Schedule'!$C$5,IF(AND($H29="3rd",$E29="Novice"),'Point Schedule'!$C$6,IF(AND($H29="4th",$E29="Novice"),'Point Schedule'!$C$7,0))))</f>
        <v>0</v>
      </c>
      <c r="M29" s="102">
        <f>IF(AND($H29="1st",$E29="Open"),'Point Schedule'!$E$4,IF(AND($H29="2nd",$E29="Open"),'Point Schedule'!$E$5,IF(AND($H29="3rd",$E29="Open"),'Point Schedule'!$E$6,IF(AND($H29="4th",$E29="Open"),'Point Schedule'!$E$7,0))))</f>
        <v>0</v>
      </c>
      <c r="N29" s="102">
        <f>IF(AND($H29="1st",$E29="Excellent"),'Point Schedule'!$G$4,IF(AND($H29="2nd",$E29="Excellent"),'Point Schedule'!$G$5,IF(AND($H29="3rd",$E29="Excellent"),'Point Schedule'!$G$6,IF(AND($H29="4th",$E29="Excellent"),'Point Schedule'!$G$7,0))))</f>
        <v>0</v>
      </c>
      <c r="O29" s="102">
        <f>IF(AND($H29="1st",$E29="Masters"),'Point Schedule'!$I$4,IF(AND($H29="2nd",$E29="Masters"),'Point Schedule'!$I$5,IF(AND($H29="3rd",$E29="Masters"),'Point Schedule'!$I$6,IF(AND($H29="4th",$E29="Masters"),'Point Schedule'!$I$7,0))))</f>
        <v>0</v>
      </c>
      <c r="P29" s="102">
        <f>IF(AND($H29="1st",$E29="Premier"),'Point Schedule'!$H$4,IF(AND($H29="2nd",$E29="Premier"),'Point Schedule'!$H$5,IF(AND($H29="3rd",$E29="Premier"),'Point Schedule'!$H$6,IF(AND($H29="4th",$E29="Premier"),'Point Schedule'!$H$7,0))))</f>
        <v>0</v>
      </c>
      <c r="Q29" s="102">
        <f>IF(AND(E29="Novice",G29="Yes"),'Point Schedule'!$C$9,IF(AND(E29="Open",G29="Yes"),'Point Schedule'!$E$9,IF(AND(E29="T2B",G29="Yes"),'Point Schedule'!$E$9,IF(AND(E29="Excellent",G29="Yes"),'Point Schedule'!$G$9,IF(AND(E29="Masters",G29="YES"),'Point Schedule'!$I$9,IF(AND(E29="Premier",G29="YES"),'Point Schedule'!$H$9,0))))))</f>
        <v>0</v>
      </c>
      <c r="R29" s="104">
        <f>IF(I29="Yes",'Point Schedule'!$C$12,0)</f>
        <v>0</v>
      </c>
      <c r="S29" s="104">
        <f>IF(J29="Yes",'Point Schedule'!$C$13,0)</f>
        <v>0</v>
      </c>
      <c r="T29" s="104">
        <f>IF(K29="Yes",'Point Schedule'!$C$14,0)</f>
        <v>0</v>
      </c>
      <c r="U29" s="93">
        <f>IF(AND(B29=B30,NOT($B29=0),NOT(F29=F30)),'Point Schedule'!$C$11,0)</f>
        <v>0</v>
      </c>
      <c r="V29" s="761"/>
      <c r="W29" s="42"/>
      <c r="Y29" s="178"/>
      <c r="Z29" s="179"/>
      <c r="AA29" s="175">
        <f t="shared" si="2"/>
        <v>0</v>
      </c>
      <c r="AB29" s="176">
        <f t="shared" si="3"/>
        <v>0</v>
      </c>
      <c r="AC29" s="177">
        <f t="shared" si="0"/>
        <v>0</v>
      </c>
      <c r="AD29" s="176">
        <f t="shared" si="1"/>
        <v>0</v>
      </c>
    </row>
    <row r="30" spans="1:30" ht="20.149999999999999" customHeight="1" x14ac:dyDescent="0.6">
      <c r="A30" s="387"/>
      <c r="B30" s="286"/>
      <c r="C30" s="800"/>
      <c r="D30" s="801"/>
      <c r="E30" s="288"/>
      <c r="F30" s="288"/>
      <c r="G30" s="288"/>
      <c r="H30" s="288"/>
      <c r="I30" s="288"/>
      <c r="J30" s="288"/>
      <c r="K30" s="288"/>
      <c r="L30" s="102">
        <f>IF(AND($H30="1st",$E30="Novice"),'Point Schedule'!$C$4,IF(AND($H30="2nd",$E30="Novice"),'Point Schedule'!$C$5,IF(AND($H30="3rd",$E30="Novice"),'Point Schedule'!$C$6,IF(AND($H30="4th",$E30="Novice"),'Point Schedule'!$C$7,0))))</f>
        <v>0</v>
      </c>
      <c r="M30" s="102">
        <f>IF(AND($H30="1st",$E30="Open"),'Point Schedule'!$E$4,IF(AND($H30="2nd",$E30="Open"),'Point Schedule'!$E$5,IF(AND($H30="3rd",$E30="Open"),'Point Schedule'!$E$6,IF(AND($H30="4th",$E30="Open"),'Point Schedule'!$E$7,0))))</f>
        <v>0</v>
      </c>
      <c r="N30" s="102">
        <f>IF(AND($H30="1st",$E30="Excellent"),'Point Schedule'!$G$4,IF(AND($H30="2nd",$E30="Excellent"),'Point Schedule'!$G$5,IF(AND($H30="3rd",$E30="Excellent"),'Point Schedule'!$G$6,IF(AND($H30="4th",$E30="Excellent"),'Point Schedule'!$G$7,0))))</f>
        <v>0</v>
      </c>
      <c r="O30" s="102">
        <f>IF(AND($H30="1st",$E30="Masters"),'Point Schedule'!$I$4,IF(AND($H30="2nd",$E30="Masters"),'Point Schedule'!$I$5,IF(AND($H30="3rd",$E30="Masters"),'Point Schedule'!$I$6,IF(AND($H30="4th",$E30="Masters"),'Point Schedule'!$I$7,0))))</f>
        <v>0</v>
      </c>
      <c r="P30" s="102">
        <f>IF(AND($H30="1st",$E30="Premier"),'Point Schedule'!$H$4,IF(AND($H30="2nd",$E30="Premier"),'Point Schedule'!$H$5,IF(AND($H30="3rd",$E30="Premier"),'Point Schedule'!$H$6,IF(AND($H30="4th",$E30="Premier"),'Point Schedule'!$H$7,0))))</f>
        <v>0</v>
      </c>
      <c r="Q30" s="102">
        <f>IF(AND(E30="Novice",G30="Yes"),'Point Schedule'!$C$9,IF(AND(E30="Open",G30="Yes"),'Point Schedule'!$E$9,IF(AND(E30="T2B",G30="Yes"),'Point Schedule'!$E$9,IF(AND(E30="Excellent",G30="Yes"),'Point Schedule'!$G$9,IF(AND(E30="Masters",G30="YES"),'Point Schedule'!$I$9,IF(AND(E30="Premier",G30="YES"),'Point Schedule'!$H$9,0))))))</f>
        <v>0</v>
      </c>
      <c r="R30" s="104">
        <f>IF(I30="Yes",'Point Schedule'!$C$12,0)</f>
        <v>0</v>
      </c>
      <c r="S30" s="104">
        <f>IF(J30="Yes",'Point Schedule'!$C$13,0)</f>
        <v>0</v>
      </c>
      <c r="T30" s="104">
        <f>IF(K30="Yes",'Point Schedule'!$C$14,0)</f>
        <v>0</v>
      </c>
      <c r="U30" s="93">
        <f>IF(AND(B30=B31,NOT($B30=0),NOT(F30=F31)),'Point Schedule'!$C$11,0)</f>
        <v>0</v>
      </c>
      <c r="V30" s="761"/>
      <c r="Y30" s="178"/>
      <c r="Z30" s="179"/>
      <c r="AA30" s="175">
        <f t="shared" si="2"/>
        <v>0</v>
      </c>
      <c r="AB30" s="176">
        <f t="shared" si="3"/>
        <v>0</v>
      </c>
      <c r="AC30" s="177">
        <f t="shared" si="0"/>
        <v>0</v>
      </c>
      <c r="AD30" s="176">
        <f t="shared" si="1"/>
        <v>0</v>
      </c>
    </row>
    <row r="31" spans="1:30" ht="20.149999999999999" customHeight="1" x14ac:dyDescent="0.6">
      <c r="A31" s="387"/>
      <c r="B31" s="286"/>
      <c r="C31" s="800"/>
      <c r="D31" s="801"/>
      <c r="E31" s="288"/>
      <c r="F31" s="288"/>
      <c r="G31" s="288"/>
      <c r="H31" s="288"/>
      <c r="I31" s="288"/>
      <c r="J31" s="288"/>
      <c r="K31" s="288"/>
      <c r="L31" s="102">
        <f>IF(AND($H31="1st",$E31="Novice"),'Point Schedule'!$C$4,IF(AND($H31="2nd",$E31="Novice"),'Point Schedule'!$C$5,IF(AND($H31="3rd",$E31="Novice"),'Point Schedule'!$C$6,IF(AND($H31="4th",$E31="Novice"),'Point Schedule'!$C$7,0))))</f>
        <v>0</v>
      </c>
      <c r="M31" s="102">
        <f>IF(AND($H31="1st",$E31="Open"),'Point Schedule'!$E$4,IF(AND($H31="2nd",$E31="Open"),'Point Schedule'!$E$5,IF(AND($H31="3rd",$E31="Open"),'Point Schedule'!$E$6,IF(AND($H31="4th",$E31="Open"),'Point Schedule'!$E$7,0))))</f>
        <v>0</v>
      </c>
      <c r="N31" s="102">
        <f>IF(AND($H31="1st",$E31="Excellent"),'Point Schedule'!$G$4,IF(AND($H31="2nd",$E31="Excellent"),'Point Schedule'!$G$5,IF(AND($H31="3rd",$E31="Excellent"),'Point Schedule'!$G$6,IF(AND($H31="4th",$E31="Excellent"),'Point Schedule'!$G$7,0))))</f>
        <v>0</v>
      </c>
      <c r="O31" s="102">
        <f>IF(AND($H31="1st",$E31="Masters"),'Point Schedule'!$I$4,IF(AND($H31="2nd",$E31="Masters"),'Point Schedule'!$I$5,IF(AND($H31="3rd",$E31="Masters"),'Point Schedule'!$I$6,IF(AND($H31="4th",$E31="Masters"),'Point Schedule'!$I$7,0))))</f>
        <v>0</v>
      </c>
      <c r="P31" s="102">
        <f>IF(AND($H31="1st",$E31="Premier"),'Point Schedule'!$H$4,IF(AND($H31="2nd",$E31="Premier"),'Point Schedule'!$H$5,IF(AND($H31="3rd",$E31="Premier"),'Point Schedule'!$H$6,IF(AND($H31="4th",$E31="Premier"),'Point Schedule'!$H$7,0))))</f>
        <v>0</v>
      </c>
      <c r="Q31" s="102">
        <f>IF(AND(E31="Novice",G31="Yes"),'Point Schedule'!$C$9,IF(AND(E31="Open",G31="Yes"),'Point Schedule'!$E$9,IF(AND(E31="T2B",G31="Yes"),'Point Schedule'!$E$9,IF(AND(E31="Excellent",G31="Yes"),'Point Schedule'!$G$9,IF(AND(E31="Masters",G31="YES"),'Point Schedule'!$I$9,IF(AND(E31="Premier",G31="YES"),'Point Schedule'!$H$9,0))))))</f>
        <v>0</v>
      </c>
      <c r="R31" s="104">
        <f>IF(I31="Yes",'Point Schedule'!$C$12,0)</f>
        <v>0</v>
      </c>
      <c r="S31" s="104">
        <f>IF(J31="Yes",'Point Schedule'!$C$13,0)</f>
        <v>0</v>
      </c>
      <c r="T31" s="104">
        <f>IF(K31="Yes",'Point Schedule'!$C$14,0)</f>
        <v>0</v>
      </c>
      <c r="U31" s="93">
        <f>IF(AND(B31=B32,NOT($B31=0),NOT(F31=F32)),'Point Schedule'!$C$11,0)</f>
        <v>0</v>
      </c>
      <c r="V31" s="761"/>
      <c r="Y31" s="178"/>
      <c r="Z31" s="179"/>
      <c r="AA31" s="175">
        <f t="shared" si="2"/>
        <v>0</v>
      </c>
      <c r="AB31" s="176">
        <f t="shared" si="3"/>
        <v>0</v>
      </c>
      <c r="AC31" s="177">
        <f t="shared" si="0"/>
        <v>0</v>
      </c>
      <c r="AD31" s="176">
        <f t="shared" si="1"/>
        <v>0</v>
      </c>
    </row>
    <row r="32" spans="1:30" ht="20.149999999999999" customHeight="1" x14ac:dyDescent="0.6">
      <c r="A32" s="387"/>
      <c r="B32" s="286"/>
      <c r="C32" s="800"/>
      <c r="D32" s="801"/>
      <c r="E32" s="288"/>
      <c r="F32" s="288"/>
      <c r="G32" s="288"/>
      <c r="H32" s="288"/>
      <c r="I32" s="288"/>
      <c r="J32" s="288"/>
      <c r="K32" s="288"/>
      <c r="L32" s="102">
        <f>IF(AND($H32="1st",$E32="Novice"),'Point Schedule'!$C$4,IF(AND($H32="2nd",$E32="Novice"),'Point Schedule'!$C$5,IF(AND($H32="3rd",$E32="Novice"),'Point Schedule'!$C$6,IF(AND($H32="4th",$E32="Novice"),'Point Schedule'!$C$7,0))))</f>
        <v>0</v>
      </c>
      <c r="M32" s="102">
        <f>IF(AND($H32="1st",$E32="Open"),'Point Schedule'!$E$4,IF(AND($H32="2nd",$E32="Open"),'Point Schedule'!$E$5,IF(AND($H32="3rd",$E32="Open"),'Point Schedule'!$E$6,IF(AND($H32="4th",$E32="Open"),'Point Schedule'!$E$7,0))))</f>
        <v>0</v>
      </c>
      <c r="N32" s="102">
        <f>IF(AND($H32="1st",$E32="Excellent"),'Point Schedule'!$G$4,IF(AND($H32="2nd",$E32="Excellent"),'Point Schedule'!$G$5,IF(AND($H32="3rd",$E32="Excellent"),'Point Schedule'!$G$6,IF(AND($H32="4th",$E32="Excellent"),'Point Schedule'!$G$7,0))))</f>
        <v>0</v>
      </c>
      <c r="O32" s="102">
        <f>IF(AND($H32="1st",$E32="Masters"),'Point Schedule'!$I$4,IF(AND($H32="2nd",$E32="Masters"),'Point Schedule'!$I$5,IF(AND($H32="3rd",$E32="Masters"),'Point Schedule'!$I$6,IF(AND($H32="4th",$E32="Masters"),'Point Schedule'!$I$7,0))))</f>
        <v>0</v>
      </c>
      <c r="P32" s="102">
        <f>IF(AND($H32="1st",$E32="Premier"),'Point Schedule'!$H$4,IF(AND($H32="2nd",$E32="Premier"),'Point Schedule'!$H$5,IF(AND($H32="3rd",$E32="Premier"),'Point Schedule'!$H$6,IF(AND($H32="4th",$E32="Premier"),'Point Schedule'!$H$7,0))))</f>
        <v>0</v>
      </c>
      <c r="Q32" s="102">
        <f>IF(AND(E32="Novice",G32="Yes"),'Point Schedule'!$C$9,IF(AND(E32="Open",G32="Yes"),'Point Schedule'!$E$9,IF(AND(E32="T2B",G32="Yes"),'Point Schedule'!$E$9,IF(AND(E32="Excellent",G32="Yes"),'Point Schedule'!$G$9,IF(AND(E32="Masters",G32="YES"),'Point Schedule'!$I$9,IF(AND(E32="Premier",G32="YES"),'Point Schedule'!$H$9,0))))))</f>
        <v>0</v>
      </c>
      <c r="R32" s="104">
        <f>IF(I32="Yes",'Point Schedule'!$C$12,0)</f>
        <v>0</v>
      </c>
      <c r="S32" s="104">
        <f>IF(J32="Yes",'Point Schedule'!$C$13,0)</f>
        <v>0</v>
      </c>
      <c r="T32" s="104">
        <f>IF(K32="Yes",'Point Schedule'!$C$14,0)</f>
        <v>0</v>
      </c>
      <c r="U32" s="93">
        <f>IF(AND(B32=B33,NOT($B32=0),NOT(F32=F33)),'Point Schedule'!$C$11,0)</f>
        <v>0</v>
      </c>
      <c r="V32" s="761"/>
      <c r="W32" s="42"/>
      <c r="Y32" s="178"/>
      <c r="Z32" s="179"/>
      <c r="AA32" s="175">
        <f t="shared" si="2"/>
        <v>0</v>
      </c>
      <c r="AB32" s="176">
        <f t="shared" si="3"/>
        <v>0</v>
      </c>
      <c r="AC32" s="177">
        <f t="shared" si="0"/>
        <v>0</v>
      </c>
      <c r="AD32" s="176">
        <f t="shared" si="1"/>
        <v>0</v>
      </c>
    </row>
    <row r="33" spans="1:30" ht="20.149999999999999" customHeight="1" x14ac:dyDescent="0.6">
      <c r="A33" s="387"/>
      <c r="B33" s="286"/>
      <c r="C33" s="800"/>
      <c r="D33" s="801"/>
      <c r="E33" s="288"/>
      <c r="F33" s="288"/>
      <c r="G33" s="288"/>
      <c r="H33" s="288"/>
      <c r="I33" s="288"/>
      <c r="J33" s="288"/>
      <c r="K33" s="288"/>
      <c r="L33" s="102">
        <f>IF(AND($H33="1st",$E33="Novice"),'Point Schedule'!$C$4,IF(AND($H33="2nd",$E33="Novice"),'Point Schedule'!$C$5,IF(AND($H33="3rd",$E33="Novice"),'Point Schedule'!$C$6,IF(AND($H33="4th",$E33="Novice"),'Point Schedule'!$C$7,0))))</f>
        <v>0</v>
      </c>
      <c r="M33" s="102">
        <f>IF(AND($H33="1st",$E33="Open"),'Point Schedule'!$E$4,IF(AND($H33="2nd",$E33="Open"),'Point Schedule'!$E$5,IF(AND($H33="3rd",$E33="Open"),'Point Schedule'!$E$6,IF(AND($H33="4th",$E33="Open"),'Point Schedule'!$E$7,0))))</f>
        <v>0</v>
      </c>
      <c r="N33" s="102">
        <f>IF(AND($H33="1st",$E33="Excellent"),'Point Schedule'!$G$4,IF(AND($H33="2nd",$E33="Excellent"),'Point Schedule'!$G$5,IF(AND($H33="3rd",$E33="Excellent"),'Point Schedule'!$G$6,IF(AND($H33="4th",$E33="Excellent"),'Point Schedule'!$G$7,0))))</f>
        <v>0</v>
      </c>
      <c r="O33" s="102">
        <f>IF(AND($H33="1st",$E33="Masters"),'Point Schedule'!$I$4,IF(AND($H33="2nd",$E33="Masters"),'Point Schedule'!$I$5,IF(AND($H33="3rd",$E33="Masters"),'Point Schedule'!$I$6,IF(AND($H33="4th",$E33="Masters"),'Point Schedule'!$I$7,0))))</f>
        <v>0</v>
      </c>
      <c r="P33" s="102">
        <f>IF(AND($H33="1st",$E33="Premier"),'Point Schedule'!$H$4,IF(AND($H33="2nd",$E33="Premier"),'Point Schedule'!$H$5,IF(AND($H33="3rd",$E33="Premier"),'Point Schedule'!$H$6,IF(AND($H33="4th",$E33="Premier"),'Point Schedule'!$H$7,0))))</f>
        <v>0</v>
      </c>
      <c r="Q33" s="102">
        <f>IF(AND(E33="Novice",G33="Yes"),'Point Schedule'!$C$9,IF(AND(E33="Open",G33="Yes"),'Point Schedule'!$E$9,IF(AND(E33="T2B",G33="Yes"),'Point Schedule'!$E$9,IF(AND(E33="Excellent",G33="Yes"),'Point Schedule'!$G$9,IF(AND(E33="Masters",G33="YES"),'Point Schedule'!$I$9,IF(AND(E33="Premier",G33="YES"),'Point Schedule'!$H$9,0))))))</f>
        <v>0</v>
      </c>
      <c r="R33" s="104">
        <f>IF(I33="Yes",'Point Schedule'!$C$12,0)</f>
        <v>0</v>
      </c>
      <c r="S33" s="104">
        <f>IF(J33="Yes",'Point Schedule'!$C$13,0)</f>
        <v>0</v>
      </c>
      <c r="T33" s="104">
        <f>IF(K33="Yes",'Point Schedule'!$C$14,0)</f>
        <v>0</v>
      </c>
      <c r="U33" s="93">
        <f>IF(AND(B33=B34,NOT($B33=0),NOT(F33=F34)),'Point Schedule'!$C$11,0)</f>
        <v>0</v>
      </c>
      <c r="V33" s="761"/>
      <c r="Y33" s="178"/>
      <c r="Z33" s="179"/>
      <c r="AA33" s="175">
        <f t="shared" si="2"/>
        <v>0</v>
      </c>
      <c r="AB33" s="176">
        <f t="shared" si="3"/>
        <v>0</v>
      </c>
      <c r="AC33" s="177">
        <f t="shared" si="0"/>
        <v>0</v>
      </c>
      <c r="AD33" s="176">
        <f t="shared" si="1"/>
        <v>0</v>
      </c>
    </row>
    <row r="34" spans="1:30" ht="20.149999999999999" customHeight="1" x14ac:dyDescent="0.6">
      <c r="A34" s="387"/>
      <c r="B34" s="286"/>
      <c r="C34" s="800"/>
      <c r="D34" s="801"/>
      <c r="E34" s="288"/>
      <c r="F34" s="288"/>
      <c r="G34" s="288"/>
      <c r="H34" s="288"/>
      <c r="I34" s="288"/>
      <c r="J34" s="288"/>
      <c r="K34" s="288"/>
      <c r="L34" s="102">
        <f>IF(AND($H34="1st",$E34="Novice"),'Point Schedule'!$C$4,IF(AND($H34="2nd",$E34="Novice"),'Point Schedule'!$C$5,IF(AND($H34="3rd",$E34="Novice"),'Point Schedule'!$C$6,IF(AND($H34="4th",$E34="Novice"),'Point Schedule'!$C$7,0))))</f>
        <v>0</v>
      </c>
      <c r="M34" s="102">
        <f>IF(AND($H34="1st",$E34="Open"),'Point Schedule'!$E$4,IF(AND($H34="2nd",$E34="Open"),'Point Schedule'!$E$5,IF(AND($H34="3rd",$E34="Open"),'Point Schedule'!$E$6,IF(AND($H34="4th",$E34="Open"),'Point Schedule'!$E$7,0))))</f>
        <v>0</v>
      </c>
      <c r="N34" s="102">
        <f>IF(AND($H34="1st",$E34="Excellent"),'Point Schedule'!$G$4,IF(AND($H34="2nd",$E34="Excellent"),'Point Schedule'!$G$5,IF(AND($H34="3rd",$E34="Excellent"),'Point Schedule'!$G$6,IF(AND($H34="4th",$E34="Excellent"),'Point Schedule'!$G$7,0))))</f>
        <v>0</v>
      </c>
      <c r="O34" s="102">
        <f>IF(AND($H34="1st",$E34="Masters"),'Point Schedule'!$I$4,IF(AND($H34="2nd",$E34="Masters"),'Point Schedule'!$I$5,IF(AND($H34="3rd",$E34="Masters"),'Point Schedule'!$I$6,IF(AND($H34="4th",$E34="Masters"),'Point Schedule'!$I$7,0))))</f>
        <v>0</v>
      </c>
      <c r="P34" s="102">
        <f>IF(AND($H34="1st",$E34="Premier"),'Point Schedule'!$H$4,IF(AND($H34="2nd",$E34="Premier"),'Point Schedule'!$H$5,IF(AND($H34="3rd",$E34="Premier"),'Point Schedule'!$H$6,IF(AND($H34="4th",$E34="Premier"),'Point Schedule'!$H$7,0))))</f>
        <v>0</v>
      </c>
      <c r="Q34" s="102">
        <f>IF(AND(E34="Novice",G34="Yes"),'Point Schedule'!$C$9,IF(AND(E34="Open",G34="Yes"),'Point Schedule'!$E$9,IF(AND(E34="T2B",G34="Yes"),'Point Schedule'!$E$9,IF(AND(E34="Excellent",G34="Yes"),'Point Schedule'!$G$9,IF(AND(E34="Masters",G34="YES"),'Point Schedule'!$I$9,IF(AND(E34="Premier",G34="YES"),'Point Schedule'!$H$9,0))))))</f>
        <v>0</v>
      </c>
      <c r="R34" s="104">
        <f>IF(I34="Yes",'Point Schedule'!$C$12,0)</f>
        <v>0</v>
      </c>
      <c r="S34" s="104">
        <f>IF(J34="Yes",'Point Schedule'!$C$13,0)</f>
        <v>0</v>
      </c>
      <c r="T34" s="104">
        <f>IF(K34="Yes",'Point Schedule'!$C$14,0)</f>
        <v>0</v>
      </c>
      <c r="U34" s="93">
        <f>IF(AND(B34=B35,NOT($B34=0),NOT(F34=F35)),'Point Schedule'!$C$11,0)</f>
        <v>0</v>
      </c>
      <c r="V34" s="761"/>
      <c r="Y34" s="178"/>
      <c r="Z34" s="179"/>
      <c r="AA34" s="175">
        <f t="shared" si="2"/>
        <v>0</v>
      </c>
      <c r="AB34" s="176">
        <f t="shared" si="3"/>
        <v>0</v>
      </c>
      <c r="AC34" s="177">
        <f t="shared" si="0"/>
        <v>0</v>
      </c>
      <c r="AD34" s="176">
        <f t="shared" si="1"/>
        <v>0</v>
      </c>
    </row>
    <row r="35" spans="1:30" ht="20.149999999999999" customHeight="1" x14ac:dyDescent="0.6">
      <c r="A35" s="387"/>
      <c r="B35" s="286"/>
      <c r="C35" s="800"/>
      <c r="D35" s="801"/>
      <c r="E35" s="288"/>
      <c r="F35" s="288"/>
      <c r="G35" s="288"/>
      <c r="H35" s="288"/>
      <c r="I35" s="288"/>
      <c r="J35" s="288"/>
      <c r="K35" s="288"/>
      <c r="L35" s="102">
        <f>IF(AND($H35="1st",$E35="Novice"),'Point Schedule'!$C$4,IF(AND($H35="2nd",$E35="Novice"),'Point Schedule'!$C$5,IF(AND($H35="3rd",$E35="Novice"),'Point Schedule'!$C$6,IF(AND($H35="4th",$E35="Novice"),'Point Schedule'!$C$7,0))))</f>
        <v>0</v>
      </c>
      <c r="M35" s="102">
        <f>IF(AND($H35="1st",$E35="Open"),'Point Schedule'!$E$4,IF(AND($H35="2nd",$E35="Open"),'Point Schedule'!$E$5,IF(AND($H35="3rd",$E35="Open"),'Point Schedule'!$E$6,IF(AND($H35="4th",$E35="Open"),'Point Schedule'!$E$7,0))))</f>
        <v>0</v>
      </c>
      <c r="N35" s="102">
        <f>IF(AND($H35="1st",$E35="Excellent"),'Point Schedule'!$G$4,IF(AND($H35="2nd",$E35="Excellent"),'Point Schedule'!$G$5,IF(AND($H35="3rd",$E35="Excellent"),'Point Schedule'!$G$6,IF(AND($H35="4th",$E35="Excellent"),'Point Schedule'!$G$7,0))))</f>
        <v>0</v>
      </c>
      <c r="O35" s="102">
        <f>IF(AND($H35="1st",$E35="Masters"),'Point Schedule'!$I$4,IF(AND($H35="2nd",$E35="Masters"),'Point Schedule'!$I$5,IF(AND($H35="3rd",$E35="Masters"),'Point Schedule'!$I$6,IF(AND($H35="4th",$E35="Masters"),'Point Schedule'!$I$7,0))))</f>
        <v>0</v>
      </c>
      <c r="P35" s="102">
        <f>IF(AND($H35="1st",$E35="Premier"),'Point Schedule'!$H$4,IF(AND($H35="2nd",$E35="Premier"),'Point Schedule'!$H$5,IF(AND($H35="3rd",$E35="Premier"),'Point Schedule'!$H$6,IF(AND($H35="4th",$E35="Premier"),'Point Schedule'!$H$7,0))))</f>
        <v>0</v>
      </c>
      <c r="Q35" s="102">
        <f>IF(AND(E35="Novice",G35="Yes"),'Point Schedule'!$C$9,IF(AND(E35="Open",G35="Yes"),'Point Schedule'!$E$9,IF(AND(E35="T2B",G35="Yes"),'Point Schedule'!$E$9,IF(AND(E35="Excellent",G35="Yes"),'Point Schedule'!$G$9,IF(AND(E35="Masters",G35="YES"),'Point Schedule'!$I$9,IF(AND(E35="Premier",G35="YES"),'Point Schedule'!$H$9,0))))))</f>
        <v>0</v>
      </c>
      <c r="R35" s="104">
        <f>IF(I35="Yes",'Point Schedule'!$C$12,0)</f>
        <v>0</v>
      </c>
      <c r="S35" s="104">
        <f>IF(J35="Yes",'Point Schedule'!$C$13,0)</f>
        <v>0</v>
      </c>
      <c r="T35" s="104">
        <f>IF(K35="Yes",'Point Schedule'!$C$14,0)</f>
        <v>0</v>
      </c>
      <c r="U35" s="93">
        <f>IF(AND(B35=B36,NOT($B35=0),NOT(F35=F36)),'Point Schedule'!$C$11,0)</f>
        <v>0</v>
      </c>
      <c r="V35" s="761"/>
      <c r="Y35" s="178"/>
      <c r="Z35" s="179"/>
      <c r="AA35" s="175">
        <f t="shared" si="2"/>
        <v>0</v>
      </c>
      <c r="AB35" s="176">
        <f t="shared" si="3"/>
        <v>0</v>
      </c>
      <c r="AC35" s="177">
        <f t="shared" si="0"/>
        <v>0</v>
      </c>
      <c r="AD35" s="176">
        <f t="shared" si="1"/>
        <v>0</v>
      </c>
    </row>
    <row r="36" spans="1:30" ht="20.149999999999999" customHeight="1" x14ac:dyDescent="0.6">
      <c r="A36" s="387"/>
      <c r="B36" s="286"/>
      <c r="C36" s="800"/>
      <c r="D36" s="801"/>
      <c r="E36" s="288"/>
      <c r="F36" s="288"/>
      <c r="G36" s="288"/>
      <c r="H36" s="288"/>
      <c r="I36" s="288"/>
      <c r="J36" s="288"/>
      <c r="K36" s="288"/>
      <c r="L36" s="102">
        <f>IF(AND($H36="1st",$E36="Novice"),'Point Schedule'!$C$4,IF(AND($H36="2nd",$E36="Novice"),'Point Schedule'!$C$5,IF(AND($H36="3rd",$E36="Novice"),'Point Schedule'!$C$6,IF(AND($H36="4th",$E36="Novice"),'Point Schedule'!$C$7,0))))</f>
        <v>0</v>
      </c>
      <c r="M36" s="102">
        <f>IF(AND($H36="1st",$E36="Open"),'Point Schedule'!$E$4,IF(AND($H36="2nd",$E36="Open"),'Point Schedule'!$E$5,IF(AND($H36="3rd",$E36="Open"),'Point Schedule'!$E$6,IF(AND($H36="4th",$E36="Open"),'Point Schedule'!$E$7,0))))</f>
        <v>0</v>
      </c>
      <c r="N36" s="102">
        <f>IF(AND($H36="1st",$E36="Excellent"),'Point Schedule'!$G$4,IF(AND($H36="2nd",$E36="Excellent"),'Point Schedule'!$G$5,IF(AND($H36="3rd",$E36="Excellent"),'Point Schedule'!$G$6,IF(AND($H36="4th",$E36="Excellent"),'Point Schedule'!$G$7,0))))</f>
        <v>0</v>
      </c>
      <c r="O36" s="102">
        <f>IF(AND($H36="1st",$E36="Masters"),'Point Schedule'!$I$4,IF(AND($H36="2nd",$E36="Masters"),'Point Schedule'!$I$5,IF(AND($H36="3rd",$E36="Masters"),'Point Schedule'!$I$6,IF(AND($H36="4th",$E36="Masters"),'Point Schedule'!$I$7,0))))</f>
        <v>0</v>
      </c>
      <c r="P36" s="102">
        <f>IF(AND($H36="1st",$E36="Premier"),'Point Schedule'!$H$4,IF(AND($H36="2nd",$E36="Premier"),'Point Schedule'!$H$5,IF(AND($H36="3rd",$E36="Premier"),'Point Schedule'!$H$6,IF(AND($H36="4th",$E36="Premier"),'Point Schedule'!$H$7,0))))</f>
        <v>0</v>
      </c>
      <c r="Q36" s="102">
        <f>IF(AND(E36="Novice",G36="Yes"),'Point Schedule'!$C$9,IF(AND(E36="Open",G36="Yes"),'Point Schedule'!$E$9,IF(AND(E36="T2B",G36="Yes"),'Point Schedule'!$E$9,IF(AND(E36="Excellent",G36="Yes"),'Point Schedule'!$G$9,IF(AND(E36="Masters",G36="YES"),'Point Schedule'!$I$9,IF(AND(E36="Premier",G36="YES"),'Point Schedule'!$H$9,0))))))</f>
        <v>0</v>
      </c>
      <c r="R36" s="104">
        <f>IF(I36="Yes",'Point Schedule'!$C$12,0)</f>
        <v>0</v>
      </c>
      <c r="S36" s="104">
        <f>IF(J36="Yes",'Point Schedule'!$C$13,0)</f>
        <v>0</v>
      </c>
      <c r="T36" s="104">
        <f>IF(K36="Yes",'Point Schedule'!$C$14,0)</f>
        <v>0</v>
      </c>
      <c r="U36" s="93">
        <f>IF(AND(B36=B37,NOT($B36=0),NOT(F36=F37)),'Point Schedule'!$C$11,0)</f>
        <v>0</v>
      </c>
      <c r="V36" s="761"/>
      <c r="Y36" s="178"/>
      <c r="Z36" s="179"/>
      <c r="AA36" s="175">
        <f t="shared" si="2"/>
        <v>0</v>
      </c>
      <c r="AB36" s="176">
        <f t="shared" si="3"/>
        <v>0</v>
      </c>
      <c r="AC36" s="177">
        <f t="shared" si="0"/>
        <v>0</v>
      </c>
      <c r="AD36" s="176">
        <f t="shared" si="1"/>
        <v>0</v>
      </c>
    </row>
    <row r="37" spans="1:30" ht="20.149999999999999" customHeight="1" x14ac:dyDescent="0.6">
      <c r="A37" s="387"/>
      <c r="B37" s="286"/>
      <c r="C37" s="800"/>
      <c r="D37" s="801"/>
      <c r="E37" s="288"/>
      <c r="F37" s="288"/>
      <c r="G37" s="288"/>
      <c r="H37" s="288"/>
      <c r="I37" s="288"/>
      <c r="J37" s="288"/>
      <c r="K37" s="288"/>
      <c r="L37" s="102">
        <f>IF(AND($H37="1st",$E37="Novice"),'Point Schedule'!$C$4,IF(AND($H37="2nd",$E37="Novice"),'Point Schedule'!$C$5,IF(AND($H37="3rd",$E37="Novice"),'Point Schedule'!$C$6,IF(AND($H37="4th",$E37="Novice"),'Point Schedule'!$C$7,0))))</f>
        <v>0</v>
      </c>
      <c r="M37" s="102">
        <f>IF(AND($H37="1st",$E37="Open"),'Point Schedule'!$E$4,IF(AND($H37="2nd",$E37="Open"),'Point Schedule'!$E$5,IF(AND($H37="3rd",$E37="Open"),'Point Schedule'!$E$6,IF(AND($H37="4th",$E37="Open"),'Point Schedule'!$E$7,0))))</f>
        <v>0</v>
      </c>
      <c r="N37" s="102">
        <f>IF(AND($H37="1st",$E37="Excellent"),'Point Schedule'!$G$4,IF(AND($H37="2nd",$E37="Excellent"),'Point Schedule'!$G$5,IF(AND($H37="3rd",$E37="Excellent"),'Point Schedule'!$G$6,IF(AND($H37="4th",$E37="Excellent"),'Point Schedule'!$G$7,0))))</f>
        <v>0</v>
      </c>
      <c r="O37" s="102">
        <f>IF(AND($H37="1st",$E37="Masters"),'Point Schedule'!$I$4,IF(AND($H37="2nd",$E37="Masters"),'Point Schedule'!$I$5,IF(AND($H37="3rd",$E37="Masters"),'Point Schedule'!$I$6,IF(AND($H37="4th",$E37="Masters"),'Point Schedule'!$I$7,0))))</f>
        <v>0</v>
      </c>
      <c r="P37" s="102">
        <f>IF(AND($H37="1st",$E37="Premier"),'Point Schedule'!$H$4,IF(AND($H37="2nd",$E37="Premier"),'Point Schedule'!$H$5,IF(AND($H37="3rd",$E37="Premier"),'Point Schedule'!$H$6,IF(AND($H37="4th",$E37="Premier"),'Point Schedule'!$H$7,0))))</f>
        <v>0</v>
      </c>
      <c r="Q37" s="102">
        <f>IF(AND(E37="Novice",G37="Yes"),'Point Schedule'!$C$9,IF(AND(E37="Open",G37="Yes"),'Point Schedule'!$E$9,IF(AND(E37="T2B",G37="Yes"),'Point Schedule'!$E$9,IF(AND(E37="Excellent",G37="Yes"),'Point Schedule'!$G$9,IF(AND(E37="Masters",G37="YES"),'Point Schedule'!$I$9,IF(AND(E37="Premier",G37="YES"),'Point Schedule'!$H$9,0))))))</f>
        <v>0</v>
      </c>
      <c r="R37" s="104">
        <f>IF(I37="Yes",'Point Schedule'!$C$12,0)</f>
        <v>0</v>
      </c>
      <c r="S37" s="104">
        <f>IF(J37="Yes",'Point Schedule'!$C$13,0)</f>
        <v>0</v>
      </c>
      <c r="T37" s="104">
        <f>IF(K37="Yes",'Point Schedule'!$C$14,0)</f>
        <v>0</v>
      </c>
      <c r="U37" s="93">
        <f>IF(AND(B37=B38,NOT($B37=0),NOT(F37=F38)),'Point Schedule'!$C$11,0)</f>
        <v>0</v>
      </c>
      <c r="V37" s="761"/>
      <c r="Y37" s="178"/>
      <c r="Z37" s="179"/>
      <c r="AA37" s="175">
        <f t="shared" si="2"/>
        <v>0</v>
      </c>
      <c r="AB37" s="176">
        <f t="shared" si="3"/>
        <v>0</v>
      </c>
      <c r="AC37" s="177">
        <f t="shared" si="0"/>
        <v>0</v>
      </c>
      <c r="AD37" s="176">
        <f t="shared" si="1"/>
        <v>0</v>
      </c>
    </row>
    <row r="38" spans="1:30" ht="20.149999999999999" customHeight="1" x14ac:dyDescent="0.6">
      <c r="A38" s="387"/>
      <c r="B38" s="286"/>
      <c r="C38" s="800"/>
      <c r="D38" s="801"/>
      <c r="E38" s="288"/>
      <c r="F38" s="288"/>
      <c r="G38" s="288"/>
      <c r="H38" s="288"/>
      <c r="I38" s="288"/>
      <c r="J38" s="288"/>
      <c r="K38" s="288"/>
      <c r="L38" s="102">
        <f>IF(AND($H38="1st",$E38="Novice"),'Point Schedule'!$C$4,IF(AND($H38="2nd",$E38="Novice"),'Point Schedule'!$C$5,IF(AND($H38="3rd",$E38="Novice"),'Point Schedule'!$C$6,IF(AND($H38="4th",$E38="Novice"),'Point Schedule'!$C$7,0))))</f>
        <v>0</v>
      </c>
      <c r="M38" s="102">
        <f>IF(AND($H38="1st",$E38="Open"),'Point Schedule'!$E$4,IF(AND($H38="2nd",$E38="Open"),'Point Schedule'!$E$5,IF(AND($H38="3rd",$E38="Open"),'Point Schedule'!$E$6,IF(AND($H38="4th",$E38="Open"),'Point Schedule'!$E$7,0))))</f>
        <v>0</v>
      </c>
      <c r="N38" s="102">
        <f>IF(AND($H38="1st",$E38="Excellent"),'Point Schedule'!$G$4,IF(AND($H38="2nd",$E38="Excellent"),'Point Schedule'!$G$5,IF(AND($H38="3rd",$E38="Excellent"),'Point Schedule'!$G$6,IF(AND($H38="4th",$E38="Excellent"),'Point Schedule'!$G$7,0))))</f>
        <v>0</v>
      </c>
      <c r="O38" s="102">
        <f>IF(AND($H38="1st",$E38="Masters"),'Point Schedule'!$I$4,IF(AND($H38="2nd",$E38="Masters"),'Point Schedule'!$I$5,IF(AND($H38="3rd",$E38="Masters"),'Point Schedule'!$I$6,IF(AND($H38="4th",$E38="Masters"),'Point Schedule'!$I$7,0))))</f>
        <v>0</v>
      </c>
      <c r="P38" s="102">
        <f>IF(AND($H38="1st",$E38="Premier"),'Point Schedule'!$H$4,IF(AND($H38="2nd",$E38="Premier"),'Point Schedule'!$H$5,IF(AND($H38="3rd",$E38="Premier"),'Point Schedule'!$H$6,IF(AND($H38="4th",$E38="Premier"),'Point Schedule'!$H$7,0))))</f>
        <v>0</v>
      </c>
      <c r="Q38" s="102">
        <f>IF(AND(E38="Novice",G38="Yes"),'Point Schedule'!$C$9,IF(AND(E38="Open",G38="Yes"),'Point Schedule'!$E$9,IF(AND(E38="T2B",G38="Yes"),'Point Schedule'!$E$9,IF(AND(E38="Excellent",G38="Yes"),'Point Schedule'!$G$9,IF(AND(E38="Masters",G38="YES"),'Point Schedule'!$I$9,IF(AND(E38="Premier",G38="YES"),'Point Schedule'!$H$9,0))))))</f>
        <v>0</v>
      </c>
      <c r="R38" s="104">
        <f>IF(I38="Yes",'Point Schedule'!$C$12,0)</f>
        <v>0</v>
      </c>
      <c r="S38" s="104">
        <f>IF(J38="Yes",'Point Schedule'!$C$13,0)</f>
        <v>0</v>
      </c>
      <c r="T38" s="104">
        <f>IF(K38="Yes",'Point Schedule'!$C$14,0)</f>
        <v>0</v>
      </c>
      <c r="U38" s="93">
        <f>IF(AND(B38=B39,NOT($B38=0),NOT(F38=F39)),'Point Schedule'!$C$11,0)</f>
        <v>0</v>
      </c>
      <c r="V38" s="761"/>
      <c r="Y38" s="178"/>
      <c r="Z38" s="179"/>
      <c r="AA38" s="175">
        <f t="shared" si="2"/>
        <v>0</v>
      </c>
      <c r="AB38" s="176">
        <f t="shared" si="3"/>
        <v>0</v>
      </c>
      <c r="AC38" s="177">
        <f t="shared" si="0"/>
        <v>0</v>
      </c>
      <c r="AD38" s="176">
        <f t="shared" si="1"/>
        <v>0</v>
      </c>
    </row>
    <row r="39" spans="1:30" ht="20.149999999999999" customHeight="1" x14ac:dyDescent="0.6">
      <c r="A39" s="387"/>
      <c r="B39" s="286"/>
      <c r="C39" s="800"/>
      <c r="D39" s="801"/>
      <c r="E39" s="288"/>
      <c r="F39" s="288"/>
      <c r="G39" s="288"/>
      <c r="H39" s="288"/>
      <c r="I39" s="288"/>
      <c r="J39" s="288"/>
      <c r="K39" s="288"/>
      <c r="L39" s="102">
        <f>IF(AND($H39="1st",$E39="Novice"),'Point Schedule'!$C$4,IF(AND($H39="2nd",$E39="Novice"),'Point Schedule'!$C$5,IF(AND($H39="3rd",$E39="Novice"),'Point Schedule'!$C$6,IF(AND($H39="4th",$E39="Novice"),'Point Schedule'!$C$7,0))))</f>
        <v>0</v>
      </c>
      <c r="M39" s="102">
        <f>IF(AND($H39="1st",$E39="Open"),'Point Schedule'!$E$4,IF(AND($H39="2nd",$E39="Open"),'Point Schedule'!$E$5,IF(AND($H39="3rd",$E39="Open"),'Point Schedule'!$E$6,IF(AND($H39="4th",$E39="Open"),'Point Schedule'!$E$7,0))))</f>
        <v>0</v>
      </c>
      <c r="N39" s="102">
        <f>IF(AND($H39="1st",$E39="Excellent"),'Point Schedule'!$G$4,IF(AND($H39="2nd",$E39="Excellent"),'Point Schedule'!$G$5,IF(AND($H39="3rd",$E39="Excellent"),'Point Schedule'!$G$6,IF(AND($H39="4th",$E39="Excellent"),'Point Schedule'!$G$7,0))))</f>
        <v>0</v>
      </c>
      <c r="O39" s="102">
        <f>IF(AND($H39="1st",$E39="Masters"),'Point Schedule'!$I$4,IF(AND($H39="2nd",$E39="Masters"),'Point Schedule'!$I$5,IF(AND($H39="3rd",$E39="Masters"),'Point Schedule'!$I$6,IF(AND($H39="4th",$E39="Masters"),'Point Schedule'!$I$7,0))))</f>
        <v>0</v>
      </c>
      <c r="P39" s="102">
        <f>IF(AND($H39="1st",$E39="Premier"),'Point Schedule'!$H$4,IF(AND($H39="2nd",$E39="Premier"),'Point Schedule'!$H$5,IF(AND($H39="3rd",$E39="Premier"),'Point Schedule'!$H$6,IF(AND($H39="4th",$E39="Premier"),'Point Schedule'!$H$7,0))))</f>
        <v>0</v>
      </c>
      <c r="Q39" s="102">
        <f>IF(AND(E39="Novice",G39="Yes"),'Point Schedule'!$C$9,IF(AND(E39="Open",G39="Yes"),'Point Schedule'!$E$9,IF(AND(E39="T2B",G39="Yes"),'Point Schedule'!$E$9,IF(AND(E39="Excellent",G39="Yes"),'Point Schedule'!$G$9,IF(AND(E39="Masters",G39="YES"),'Point Schedule'!$I$9,IF(AND(E39="Premier",G39="YES"),'Point Schedule'!$H$9,0))))))</f>
        <v>0</v>
      </c>
      <c r="R39" s="104">
        <f>IF(I39="Yes",'Point Schedule'!$C$12,0)</f>
        <v>0</v>
      </c>
      <c r="S39" s="104">
        <f>IF(J39="Yes",'Point Schedule'!$C$13,0)</f>
        <v>0</v>
      </c>
      <c r="T39" s="104">
        <f>IF(K39="Yes",'Point Schedule'!$C$14,0)</f>
        <v>0</v>
      </c>
      <c r="U39" s="93">
        <f>IF(AND(B39=B40,NOT($B39=0),NOT(F39=F40)),'Point Schedule'!$C$11,0)</f>
        <v>0</v>
      </c>
      <c r="V39" s="761"/>
      <c r="W39" s="42"/>
      <c r="Y39" s="178"/>
      <c r="Z39" s="179"/>
      <c r="AA39" s="175">
        <f t="shared" si="2"/>
        <v>0</v>
      </c>
      <c r="AB39" s="176">
        <f t="shared" si="3"/>
        <v>0</v>
      </c>
      <c r="AC39" s="177">
        <f t="shared" si="0"/>
        <v>0</v>
      </c>
      <c r="AD39" s="176">
        <f t="shared" si="1"/>
        <v>0</v>
      </c>
    </row>
    <row r="40" spans="1:30" ht="20.149999999999999" customHeight="1" x14ac:dyDescent="0.6">
      <c r="A40" s="387"/>
      <c r="B40" s="286"/>
      <c r="C40" s="800"/>
      <c r="D40" s="801"/>
      <c r="E40" s="288"/>
      <c r="F40" s="288"/>
      <c r="G40" s="288"/>
      <c r="H40" s="288"/>
      <c r="I40" s="288"/>
      <c r="J40" s="288"/>
      <c r="K40" s="288"/>
      <c r="L40" s="102">
        <f>IF(AND($H40="1st",$E40="Novice"),'Point Schedule'!$C$4,IF(AND($H40="2nd",$E40="Novice"),'Point Schedule'!$C$5,IF(AND($H40="3rd",$E40="Novice"),'Point Schedule'!$C$6,IF(AND($H40="4th",$E40="Novice"),'Point Schedule'!$C$7,0))))</f>
        <v>0</v>
      </c>
      <c r="M40" s="102">
        <f>IF(AND($H40="1st",$E40="Open"),'Point Schedule'!$E$4,IF(AND($H40="2nd",$E40="Open"),'Point Schedule'!$E$5,IF(AND($H40="3rd",$E40="Open"),'Point Schedule'!$E$6,IF(AND($H40="4th",$E40="Open"),'Point Schedule'!$E$7,0))))</f>
        <v>0</v>
      </c>
      <c r="N40" s="102">
        <f>IF(AND($H40="1st",$E40="Excellent"),'Point Schedule'!$G$4,IF(AND($H40="2nd",$E40="Excellent"),'Point Schedule'!$G$5,IF(AND($H40="3rd",$E40="Excellent"),'Point Schedule'!$G$6,IF(AND($H40="4th",$E40="Excellent"),'Point Schedule'!$G$7,0))))</f>
        <v>0</v>
      </c>
      <c r="O40" s="102">
        <f>IF(AND($H40="1st",$E40="Masters"),'Point Schedule'!$I$4,IF(AND($H40="2nd",$E40="Masters"),'Point Schedule'!$I$5,IF(AND($H40="3rd",$E40="Masters"),'Point Schedule'!$I$6,IF(AND($H40="4th",$E40="Masters"),'Point Schedule'!$I$7,0))))</f>
        <v>0</v>
      </c>
      <c r="P40" s="102">
        <f>IF(AND($H40="1st",$E40="Premier"),'Point Schedule'!$H$4,IF(AND($H40="2nd",$E40="Premier"),'Point Schedule'!$H$5,IF(AND($H40="3rd",$E40="Premier"),'Point Schedule'!$H$6,IF(AND($H40="4th",$E40="Premier"),'Point Schedule'!$H$7,0))))</f>
        <v>0</v>
      </c>
      <c r="Q40" s="102">
        <f>IF(AND(E40="Novice",G40="Yes"),'Point Schedule'!$C$9,IF(AND(E40="Open",G40="Yes"),'Point Schedule'!$E$9,IF(AND(E40="T2B",G40="Yes"),'Point Schedule'!$E$9,IF(AND(E40="Excellent",G40="Yes"),'Point Schedule'!$G$9,IF(AND(E40="Masters",G40="YES"),'Point Schedule'!$I$9,IF(AND(E40="Premier",G40="YES"),'Point Schedule'!$H$9,0))))))</f>
        <v>0</v>
      </c>
      <c r="R40" s="104">
        <f>IF(I40="Yes",'Point Schedule'!$C$12,0)</f>
        <v>0</v>
      </c>
      <c r="S40" s="104">
        <f>IF(J40="Yes",'Point Schedule'!$C$13,0)</f>
        <v>0</v>
      </c>
      <c r="T40" s="104">
        <f>IF(K40="Yes",'Point Schedule'!$C$14,0)</f>
        <v>0</v>
      </c>
      <c r="U40" s="93">
        <f>IF(AND(B40=B41,NOT($B40=0),NOT(F40=F41)),'Point Schedule'!$C$11,0)</f>
        <v>0</v>
      </c>
      <c r="V40" s="761"/>
      <c r="Y40" s="178"/>
      <c r="Z40" s="179"/>
      <c r="AA40" s="175">
        <f t="shared" si="2"/>
        <v>0</v>
      </c>
      <c r="AB40" s="176">
        <f t="shared" si="3"/>
        <v>0</v>
      </c>
      <c r="AC40" s="177">
        <f t="shared" si="0"/>
        <v>0</v>
      </c>
      <c r="AD40" s="176">
        <f t="shared" si="1"/>
        <v>0</v>
      </c>
    </row>
    <row r="41" spans="1:30" ht="20.149999999999999" customHeight="1" x14ac:dyDescent="0.6">
      <c r="A41" s="387"/>
      <c r="B41" s="286"/>
      <c r="C41" s="800"/>
      <c r="D41" s="801"/>
      <c r="E41" s="288"/>
      <c r="F41" s="288"/>
      <c r="G41" s="288"/>
      <c r="H41" s="288"/>
      <c r="I41" s="288"/>
      <c r="J41" s="288"/>
      <c r="K41" s="288"/>
      <c r="L41" s="102">
        <f>IF(AND($H41="1st",$E41="Novice"),'Point Schedule'!$C$4,IF(AND($H41="2nd",$E41="Novice"),'Point Schedule'!$C$5,IF(AND($H41="3rd",$E41="Novice"),'Point Schedule'!$C$6,IF(AND($H41="4th",$E41="Novice"),'Point Schedule'!$C$7,0))))</f>
        <v>0</v>
      </c>
      <c r="M41" s="102">
        <f>IF(AND($H41="1st",$E41="Open"),'Point Schedule'!$E$4,IF(AND($H41="2nd",$E41="Open"),'Point Schedule'!$E$5,IF(AND($H41="3rd",$E41="Open"),'Point Schedule'!$E$6,IF(AND($H41="4th",$E41="Open"),'Point Schedule'!$E$7,0))))</f>
        <v>0</v>
      </c>
      <c r="N41" s="102">
        <f>IF(AND($H41="1st",$E41="Excellent"),'Point Schedule'!$G$4,IF(AND($H41="2nd",$E41="Excellent"),'Point Schedule'!$G$5,IF(AND($H41="3rd",$E41="Excellent"),'Point Schedule'!$G$6,IF(AND($H41="4th",$E41="Excellent"),'Point Schedule'!$G$7,0))))</f>
        <v>0</v>
      </c>
      <c r="O41" s="102">
        <f>IF(AND($H41="1st",$E41="Masters"),'Point Schedule'!$I$4,IF(AND($H41="2nd",$E41="Masters"),'Point Schedule'!$I$5,IF(AND($H41="3rd",$E41="Masters"),'Point Schedule'!$I$6,IF(AND($H41="4th",$E41="Masters"),'Point Schedule'!$I$7,0))))</f>
        <v>0</v>
      </c>
      <c r="P41" s="102">
        <f>IF(AND($H41="1st",$E41="Premier"),'Point Schedule'!$H$4,IF(AND($H41="2nd",$E41="Premier"),'Point Schedule'!$H$5,IF(AND($H41="3rd",$E41="Premier"),'Point Schedule'!$H$6,IF(AND($H41="4th",$E41="Premier"),'Point Schedule'!$H$7,0))))</f>
        <v>0</v>
      </c>
      <c r="Q41" s="102">
        <f>IF(AND(E41="Novice",G41="Yes"),'Point Schedule'!$C$9,IF(AND(E41="Open",G41="Yes"),'Point Schedule'!$E$9,IF(AND(E41="T2B",G41="Yes"),'Point Schedule'!$E$9,IF(AND(E41="Excellent",G41="Yes"),'Point Schedule'!$G$9,IF(AND(E41="Masters",G41="YES"),'Point Schedule'!$I$9,IF(AND(E41="Premier",G41="YES"),'Point Schedule'!$H$9,0))))))</f>
        <v>0</v>
      </c>
      <c r="R41" s="104">
        <f>IF(I41="Yes",'Point Schedule'!$C$12,0)</f>
        <v>0</v>
      </c>
      <c r="S41" s="104">
        <f>IF(J41="Yes",'Point Schedule'!$C$13,0)</f>
        <v>0</v>
      </c>
      <c r="T41" s="104">
        <f>IF(K41="Yes",'Point Schedule'!$C$14,0)</f>
        <v>0</v>
      </c>
      <c r="U41" s="93">
        <f>IF(AND(B41=B42,NOT($B41=0),NOT(F41=F42)),'Point Schedule'!$C$11,0)</f>
        <v>0</v>
      </c>
      <c r="V41" s="761"/>
      <c r="Y41" s="178"/>
      <c r="Z41" s="179"/>
      <c r="AA41" s="175">
        <f t="shared" si="2"/>
        <v>0</v>
      </c>
      <c r="AB41" s="176">
        <f t="shared" si="3"/>
        <v>0</v>
      </c>
      <c r="AC41" s="177">
        <f t="shared" si="0"/>
        <v>0</v>
      </c>
      <c r="AD41" s="176">
        <f t="shared" si="1"/>
        <v>0</v>
      </c>
    </row>
    <row r="42" spans="1:30" ht="20.149999999999999" customHeight="1" x14ac:dyDescent="0.6">
      <c r="A42" s="387"/>
      <c r="B42" s="289"/>
      <c r="C42" s="802"/>
      <c r="D42" s="803"/>
      <c r="E42" s="290"/>
      <c r="F42" s="290"/>
      <c r="G42" s="290"/>
      <c r="H42" s="290"/>
      <c r="I42" s="290"/>
      <c r="J42" s="290"/>
      <c r="K42" s="290"/>
      <c r="L42" s="107">
        <f>IF(AND($H42="1st",$E42="Novice"),'Point Schedule'!$C$4,IF(AND($H42="2nd",$E42="Novice"),'Point Schedule'!$C$5,IF(AND($H42="3rd",$E42="Novice"),'Point Schedule'!$C$6,IF(AND($H42="4th",$E42="Novice"),'Point Schedule'!$C$7,0))))</f>
        <v>0</v>
      </c>
      <c r="M42" s="102">
        <f>IF(AND($H42="1st",$E42="Open"),'Point Schedule'!$E$4,IF(AND($H42="2nd",$E42="Open"),'Point Schedule'!$E$5,IF(AND($H42="3rd",$E42="Open"),'Point Schedule'!$E$6,IF(AND($H42="4th",$E42="Open"),'Point Schedule'!$E$7,0))))</f>
        <v>0</v>
      </c>
      <c r="N42" s="107">
        <f>IF(AND($H42="1st",$E42="Excellent"),'Point Schedule'!$G$4,IF(AND($H42="2nd",$E42="Excellent"),'Point Schedule'!$G$5,IF(AND($H42="3rd",$E42="Excellent"),'Point Schedule'!$G$6,IF(AND($H42="4th",$E42="Excellent"),'Point Schedule'!$G$7,0))))</f>
        <v>0</v>
      </c>
      <c r="O42" s="107">
        <f>IF(AND($H42="1st",$E42="Masters"),'Point Schedule'!$I$4,IF(AND($H42="2nd",$E42="Masters"),'Point Schedule'!$I$5,IF(AND($H42="3rd",$E42="Masters"),'Point Schedule'!$I$6,IF(AND($H42="4th",$E42="Masters"),'Point Schedule'!$I$7,0))))</f>
        <v>0</v>
      </c>
      <c r="P42" s="102">
        <f>IF(AND($H42="1st",$E42="Premier"),'Point Schedule'!$H$4,IF(AND($H42="2nd",$E42="Premier"),'Point Schedule'!$H$5,IF(AND($H42="3rd",$E42="Premier"),'Point Schedule'!$H$6,IF(AND($H42="4th",$E42="Premier"),'Point Schedule'!$H$7,0))))</f>
        <v>0</v>
      </c>
      <c r="Q42" s="102">
        <f>IF(AND(E42="Novice",G42="Yes"),'Point Schedule'!$C$9,IF(AND(E42="Open",G42="Yes"),'Point Schedule'!$E$9,IF(AND(E42="T2B",G42="Yes"),'Point Schedule'!$E$9,IF(AND(E42="Excellent",G42="Yes"),'Point Schedule'!$G$9,IF(AND(E42="Masters",G42="YES"),'Point Schedule'!$I$9,IF(AND(E42="Premier",G42="YES"),'Point Schedule'!$H$9,0))))))</f>
        <v>0</v>
      </c>
      <c r="R42" s="105">
        <f>IF(I42="Yes",'Point Schedule'!$C$12,0)</f>
        <v>0</v>
      </c>
      <c r="S42" s="104">
        <f>IF(J42="Yes",'Point Schedule'!$C$13,0)</f>
        <v>0</v>
      </c>
      <c r="T42" s="104">
        <f>IF(K42="Yes",'Point Schedule'!$C$14,0)</f>
        <v>0</v>
      </c>
      <c r="U42" s="93">
        <f>IF(AND(B42=B43,NOT($B42=0),NOT(F42=F43)),'Point Schedule'!$C$11,0)</f>
        <v>0</v>
      </c>
      <c r="V42" s="761"/>
      <c r="W42" s="42"/>
      <c r="Y42" s="178"/>
      <c r="Z42" s="179"/>
      <c r="AA42" s="175">
        <f t="shared" si="2"/>
        <v>0</v>
      </c>
      <c r="AB42" s="176">
        <f t="shared" si="3"/>
        <v>0</v>
      </c>
      <c r="AC42" s="177">
        <f t="shared" si="0"/>
        <v>0</v>
      </c>
      <c r="AD42" s="176">
        <f t="shared" si="1"/>
        <v>0</v>
      </c>
    </row>
    <row r="43" spans="1:30" ht="20.149999999999999" customHeight="1" x14ac:dyDescent="0.7">
      <c r="A43" s="387"/>
      <c r="B43" s="265"/>
      <c r="C43" s="804"/>
      <c r="D43" s="805"/>
      <c r="E43" s="288"/>
      <c r="F43" s="288"/>
      <c r="G43" s="288"/>
      <c r="H43" s="288"/>
      <c r="I43" s="288"/>
      <c r="J43" s="290"/>
      <c r="K43" s="290"/>
      <c r="L43" s="107">
        <f>IF(AND($H43="1st",$E43="Novice"),'Point Schedule'!$C$4,IF(AND($H43="2nd",$E43="Novice"),'Point Schedule'!$C$5,IF(AND($H43="3rd",$E43="Novice"),'Point Schedule'!$C$6,IF(AND($H43="4th",$E43="Novice"),'Point Schedule'!$C$7,0))))</f>
        <v>0</v>
      </c>
      <c r="M43" s="102">
        <f>IF(AND($H43="1st",$E43="Open"),'Point Schedule'!$E$4,IF(AND($H43="2nd",$E43="Open"),'Point Schedule'!$E$5,IF(AND($H43="3rd",$E43="Open"),'Point Schedule'!$E$6,IF(AND($H43="4th",$E43="Open"),'Point Schedule'!$E$7,0))))</f>
        <v>0</v>
      </c>
      <c r="N43" s="107">
        <f>IF(AND($H43="1st",$E43="Excellent"),'Point Schedule'!$G$4,IF(AND($H43="2nd",$E43="Excellent"),'Point Schedule'!$G$5,IF(AND($H43="3rd",$E43="Excellent"),'Point Schedule'!$G$6,IF(AND($H43="4th",$E43="Excellent"),'Point Schedule'!$G$7,0))))</f>
        <v>0</v>
      </c>
      <c r="O43" s="107">
        <f>IF(AND($H43="1st",$E43="Masters"),'Point Schedule'!$I$4,IF(AND($H43="2nd",$E43="Masters"),'Point Schedule'!$I$5,IF(AND($H43="3rd",$E43="Masters"),'Point Schedule'!$I$6,IF(AND($H43="4th",$E43="Masters"),'Point Schedule'!$I$7,0))))</f>
        <v>0</v>
      </c>
      <c r="P43" s="102">
        <f>IF(AND($H43="1st",$E43="Premier"),'Point Schedule'!$H$4,IF(AND($H43="2nd",$E43="Premier"),'Point Schedule'!$H$5,IF(AND($H43="3rd",$E43="Premier"),'Point Schedule'!$H$6,IF(AND($H43="4th",$E43="Premier"),'Point Schedule'!$H$7,0))))</f>
        <v>0</v>
      </c>
      <c r="Q43" s="102">
        <f>IF(AND(E43="Novice",G43="Yes"),'Point Schedule'!$C$9,IF(AND(E43="Open",G43="Yes"),'Point Schedule'!$E$9,IF(AND(E43="T2B",G43="Yes"),'Point Schedule'!$E$9,IF(AND(E43="Excellent",G43="Yes"),'Point Schedule'!$G$9,IF(AND(E43="Masters",G43="YES"),'Point Schedule'!$I$9,IF(AND(E43="Premier",G43="YES"),'Point Schedule'!$H$9,0))))))</f>
        <v>0</v>
      </c>
      <c r="R43" s="105">
        <f>IF(I43="Yes",'Point Schedule'!$C$12,0)</f>
        <v>0</v>
      </c>
      <c r="S43" s="104">
        <f>IF(J43="Yes",'Point Schedule'!$C$13,0)</f>
        <v>0</v>
      </c>
      <c r="T43" s="104">
        <f>IF(K43="Yes",'Point Schedule'!$C$14,0)</f>
        <v>0</v>
      </c>
      <c r="U43" s="93">
        <f>IF(AND(B43=B44,NOT($B43=0),NOT(F43=F44)),'Point Schedule'!$C$11,0)</f>
        <v>0</v>
      </c>
      <c r="V43" s="761"/>
      <c r="Y43" s="178"/>
      <c r="Z43" s="179"/>
      <c r="AA43" s="175">
        <f t="shared" si="2"/>
        <v>0</v>
      </c>
      <c r="AB43" s="176">
        <f t="shared" si="3"/>
        <v>0</v>
      </c>
      <c r="AC43" s="177">
        <f t="shared" ref="AC43:AC74" si="4">IF($H43="1st",$AA43*2,0)</f>
        <v>0</v>
      </c>
      <c r="AD43" s="176">
        <f t="shared" ref="AD43:AD74" si="5">IF($H43="2nd",$AA43*1.5,0)</f>
        <v>0</v>
      </c>
    </row>
    <row r="44" spans="1:30" ht="20.149999999999999" customHeight="1" x14ac:dyDescent="0.7">
      <c r="A44" s="387"/>
      <c r="B44" s="265"/>
      <c r="C44" s="716"/>
      <c r="D44" s="718"/>
      <c r="E44" s="264"/>
      <c r="F44" s="264"/>
      <c r="G44" s="264"/>
      <c r="H44" s="264"/>
      <c r="I44" s="264"/>
      <c r="J44" s="267"/>
      <c r="K44" s="267"/>
      <c r="L44" s="107">
        <f>IF(AND($H44="1st",$E44="Novice"),'Point Schedule'!$C$4,IF(AND($H44="2nd",$E44="Novice"),'Point Schedule'!$C$5,IF(AND($H44="3rd",$E44="Novice"),'Point Schedule'!$C$6,IF(AND($H44="4th",$E44="Novice"),'Point Schedule'!$C$7,0))))</f>
        <v>0</v>
      </c>
      <c r="M44" s="102">
        <f>IF(AND($H44="1st",$E44="Open"),'Point Schedule'!$E$4,IF(AND($H44="2nd",$E44="Open"),'Point Schedule'!$E$5,IF(AND($H44="3rd",$E44="Open"),'Point Schedule'!$E$6,IF(AND($H44="4th",$E44="Open"),'Point Schedule'!$E$7,0))))</f>
        <v>0</v>
      </c>
      <c r="N44" s="107">
        <f>IF(AND($H44="1st",$E44="Excellent"),'Point Schedule'!$G$4,IF(AND($H44="2nd",$E44="Excellent"),'Point Schedule'!$G$5,IF(AND($H44="3rd",$E44="Excellent"),'Point Schedule'!$G$6,IF(AND($H44="4th",$E44="Excellent"),'Point Schedule'!$G$7,0))))</f>
        <v>0</v>
      </c>
      <c r="O44" s="107">
        <f>IF(AND($H44="1st",$E44="Masters"),'Point Schedule'!$I$4,IF(AND($H44="2nd",$E44="Masters"),'Point Schedule'!$I$5,IF(AND($H44="3rd",$E44="Masters"),'Point Schedule'!$I$6,IF(AND($H44="4th",$E44="Masters"),'Point Schedule'!$I$7,0))))</f>
        <v>0</v>
      </c>
      <c r="P44" s="102">
        <f>IF(AND($H44="1st",$E44="Premier"),'Point Schedule'!$H$4,IF(AND($H44="2nd",$E44="Premier"),'Point Schedule'!$H$5,IF(AND($H44="3rd",$E44="Premier"),'Point Schedule'!$H$6,IF(AND($H44="4th",$E44="Premier"),'Point Schedule'!$H$7,0))))</f>
        <v>0</v>
      </c>
      <c r="Q44" s="102">
        <f>IF(AND(E44="Novice",G44="Yes"),'Point Schedule'!$C$9,IF(AND(E44="Open",G44="Yes"),'Point Schedule'!$E$9,IF(AND(E44="T2B",G44="Yes"),'Point Schedule'!$E$9,IF(AND(E44="Excellent",G44="Yes"),'Point Schedule'!$G$9,IF(AND(E44="Masters",G44="YES"),'Point Schedule'!$I$9,IF(AND(E44="Premier",G44="YES"),'Point Schedule'!$H$9,0))))))</f>
        <v>0</v>
      </c>
      <c r="R44" s="105">
        <f>IF(I44="Yes",'Point Schedule'!$C$12,0)</f>
        <v>0</v>
      </c>
      <c r="S44" s="104">
        <f>IF(J44="Yes",'Point Schedule'!$C$13,0)</f>
        <v>0</v>
      </c>
      <c r="T44" s="104">
        <f>IF(K44="Yes",'Point Schedule'!$C$14,0)</f>
        <v>0</v>
      </c>
      <c r="U44" s="93">
        <f>IF(AND(B44=B92,NOT($B44=0),NOT(F44=F92)),'Point Schedule'!$C$11,0)</f>
        <v>0</v>
      </c>
      <c r="V44" s="761"/>
      <c r="Y44" s="178"/>
      <c r="Z44" s="179"/>
      <c r="AA44" s="175">
        <f t="shared" si="2"/>
        <v>0</v>
      </c>
      <c r="AB44" s="176">
        <f t="shared" si="3"/>
        <v>0</v>
      </c>
      <c r="AC44" s="177">
        <f t="shared" si="4"/>
        <v>0</v>
      </c>
      <c r="AD44" s="176">
        <f t="shared" si="5"/>
        <v>0</v>
      </c>
    </row>
    <row r="45" spans="1:30" ht="20.149999999999999" customHeight="1" x14ac:dyDescent="0.7">
      <c r="A45" s="387"/>
      <c r="B45" s="265"/>
      <c r="C45" s="716"/>
      <c r="D45" s="718"/>
      <c r="E45" s="264"/>
      <c r="F45" s="264"/>
      <c r="G45" s="264"/>
      <c r="H45" s="264"/>
      <c r="I45" s="264"/>
      <c r="J45" s="267"/>
      <c r="K45" s="267"/>
      <c r="L45" s="107">
        <f>IF(AND($H45="1st",$E45="Novice"),'Point Schedule'!$C$4,IF(AND($H45="2nd",$E45="Novice"),'Point Schedule'!$C$5,IF(AND($H45="3rd",$E45="Novice"),'Point Schedule'!$C$6,IF(AND($H45="4th",$E45="Novice"),'Point Schedule'!$C$7,0))))</f>
        <v>0</v>
      </c>
      <c r="M45" s="102">
        <f>IF(AND($H45="1st",$E45="Open"),'Point Schedule'!$E$4,IF(AND($H45="2nd",$E45="Open"),'Point Schedule'!$E$5,IF(AND($H45="3rd",$E45="Open"),'Point Schedule'!$E$6,IF(AND($H45="4th",$E45="Open"),'Point Schedule'!$E$7,0))))</f>
        <v>0</v>
      </c>
      <c r="N45" s="107">
        <f>IF(AND($H45="1st",$E45="Excellent"),'Point Schedule'!$G$4,IF(AND($H45="2nd",$E45="Excellent"),'Point Schedule'!$G$5,IF(AND($H45="3rd",$E45="Excellent"),'Point Schedule'!$G$6,IF(AND($H45="4th",$E45="Excellent"),'Point Schedule'!$G$7,0))))</f>
        <v>0</v>
      </c>
      <c r="O45" s="107">
        <f>IF(AND($H45="1st",$E45="Masters"),'Point Schedule'!$I$4,IF(AND($H45="2nd",$E45="Masters"),'Point Schedule'!$I$5,IF(AND($H45="3rd",$E45="Masters"),'Point Schedule'!$I$6,IF(AND($H45="4th",$E45="Masters"),'Point Schedule'!$I$7,0))))</f>
        <v>0</v>
      </c>
      <c r="P45" s="102">
        <f>IF(AND($H45="1st",$E45="Premier"),'Point Schedule'!$H$4,IF(AND($H45="2nd",$E45="Premier"),'Point Schedule'!$H$5,IF(AND($H45="3rd",$E45="Premier"),'Point Schedule'!$H$6,IF(AND($H45="4th",$E45="Premier"),'Point Schedule'!$H$7,0))))</f>
        <v>0</v>
      </c>
      <c r="Q45" s="102">
        <f>IF(AND(E45="Novice",G45="Yes"),'Point Schedule'!$C$9,IF(AND(E45="Open",G45="Yes"),'Point Schedule'!$E$9,IF(AND(E45="T2B",G45="Yes"),'Point Schedule'!$E$9,IF(AND(E45="Excellent",G45="Yes"),'Point Schedule'!$G$9,IF(AND(E45="Masters",G45="YES"),'Point Schedule'!$I$9,IF(AND(E45="Premier",G45="YES"),'Point Schedule'!$H$9,0))))))</f>
        <v>0</v>
      </c>
      <c r="R45" s="105">
        <f>IF(I45="Yes",'Point Schedule'!$C$12,0)</f>
        <v>0</v>
      </c>
      <c r="S45" s="104">
        <f>IF(J45="Yes",'Point Schedule'!$C$13,0)</f>
        <v>0</v>
      </c>
      <c r="T45" s="104">
        <f>IF(K45="Yes",'Point Schedule'!$C$14,0)</f>
        <v>0</v>
      </c>
      <c r="U45" s="93">
        <f>IF(AND(B45=B93,NOT($B45=0),NOT(F45=F93)),'Point Schedule'!$C$11,0)</f>
        <v>0</v>
      </c>
      <c r="V45" s="761"/>
      <c r="Y45" s="178"/>
      <c r="Z45" s="179"/>
      <c r="AA45" s="175">
        <f t="shared" si="2"/>
        <v>0</v>
      </c>
      <c r="AB45" s="176">
        <f t="shared" si="3"/>
        <v>0</v>
      </c>
      <c r="AC45" s="177">
        <f t="shared" si="4"/>
        <v>0</v>
      </c>
      <c r="AD45" s="176">
        <f t="shared" si="5"/>
        <v>0</v>
      </c>
    </row>
    <row r="46" spans="1:30" ht="20.149999999999999" customHeight="1" x14ac:dyDescent="0.7">
      <c r="A46" s="387"/>
      <c r="B46" s="265"/>
      <c r="C46" s="716"/>
      <c r="D46" s="718"/>
      <c r="E46" s="264"/>
      <c r="F46" s="264"/>
      <c r="G46" s="264"/>
      <c r="H46" s="264"/>
      <c r="I46" s="264"/>
      <c r="J46" s="267"/>
      <c r="K46" s="267"/>
      <c r="L46" s="107">
        <f>IF(AND($H46="1st",$E46="Novice"),'Point Schedule'!$C$4,IF(AND($H46="2nd",$E46="Novice"),'Point Schedule'!$C$5,IF(AND($H46="3rd",$E46="Novice"),'Point Schedule'!$C$6,IF(AND($H46="4th",$E46="Novice"),'Point Schedule'!$C$7,0))))</f>
        <v>0</v>
      </c>
      <c r="M46" s="102">
        <f>IF(AND($H46="1st",$E46="Open"),'Point Schedule'!$E$4,IF(AND($H46="2nd",$E46="Open"),'Point Schedule'!$E$5,IF(AND($H46="3rd",$E46="Open"),'Point Schedule'!$E$6,IF(AND($H46="4th",$E46="Open"),'Point Schedule'!$E$7,0))))</f>
        <v>0</v>
      </c>
      <c r="N46" s="107">
        <f>IF(AND($H46="1st",$E46="Excellent"),'Point Schedule'!$G$4,IF(AND($H46="2nd",$E46="Excellent"),'Point Schedule'!$G$5,IF(AND($H46="3rd",$E46="Excellent"),'Point Schedule'!$G$6,IF(AND($H46="4th",$E46="Excellent"),'Point Schedule'!$G$7,0))))</f>
        <v>0</v>
      </c>
      <c r="O46" s="107">
        <f>IF(AND($H46="1st",$E46="Masters"),'Point Schedule'!$I$4,IF(AND($H46="2nd",$E46="Masters"),'Point Schedule'!$I$5,IF(AND($H46="3rd",$E46="Masters"),'Point Schedule'!$I$6,IF(AND($H46="4th",$E46="Masters"),'Point Schedule'!$I$7,0))))</f>
        <v>0</v>
      </c>
      <c r="P46" s="102">
        <f>IF(AND($H46="1st",$E46="Premier"),'Point Schedule'!$H$4,IF(AND($H46="2nd",$E46="Premier"),'Point Schedule'!$H$5,IF(AND($H46="3rd",$E46="Premier"),'Point Schedule'!$H$6,IF(AND($H46="4th",$E46="Premier"),'Point Schedule'!$H$7,0))))</f>
        <v>0</v>
      </c>
      <c r="Q46" s="102">
        <f>IF(AND(E46="Novice",G46="Yes"),'Point Schedule'!$C$9,IF(AND(E46="Open",G46="Yes"),'Point Schedule'!$E$9,IF(AND(E46="T2B",G46="Yes"),'Point Schedule'!$E$9,IF(AND(E46="Excellent",G46="Yes"),'Point Schedule'!$G$9,IF(AND(E46="Masters",G46="YES"),'Point Schedule'!$I$9,IF(AND(E46="Premier",G46="YES"),'Point Schedule'!$H$9,0))))))</f>
        <v>0</v>
      </c>
      <c r="R46" s="105">
        <f>IF(I46="Yes",'Point Schedule'!$C$12,0)</f>
        <v>0</v>
      </c>
      <c r="S46" s="104">
        <f>IF(J46="Yes",'Point Schedule'!$C$13,0)</f>
        <v>0</v>
      </c>
      <c r="T46" s="104">
        <f>IF(K46="Yes",'Point Schedule'!$C$14,0)</f>
        <v>0</v>
      </c>
      <c r="U46" s="93">
        <f>IF(AND(B46=B94,NOT($B46=0),NOT(F46=F94)),'Point Schedule'!$C$11,0)</f>
        <v>0</v>
      </c>
      <c r="V46" s="761"/>
      <c r="Y46" s="178"/>
      <c r="Z46" s="179"/>
      <c r="AA46" s="175">
        <f t="shared" si="2"/>
        <v>0</v>
      </c>
      <c r="AB46" s="176">
        <f t="shared" si="3"/>
        <v>0</v>
      </c>
      <c r="AC46" s="177">
        <f t="shared" si="4"/>
        <v>0</v>
      </c>
      <c r="AD46" s="176">
        <f t="shared" si="5"/>
        <v>0</v>
      </c>
    </row>
    <row r="47" spans="1:30" ht="20.149999999999999" customHeight="1" x14ac:dyDescent="0.7">
      <c r="A47" s="387"/>
      <c r="B47" s="265"/>
      <c r="C47" s="716"/>
      <c r="D47" s="718"/>
      <c r="E47" s="264"/>
      <c r="F47" s="264"/>
      <c r="G47" s="264"/>
      <c r="H47" s="264"/>
      <c r="I47" s="264"/>
      <c r="J47" s="267"/>
      <c r="K47" s="267"/>
      <c r="L47" s="107">
        <f>IF(AND($H47="1st",$E47="Novice"),'Point Schedule'!$C$4,IF(AND($H47="2nd",$E47="Novice"),'Point Schedule'!$C$5,IF(AND($H47="3rd",$E47="Novice"),'Point Schedule'!$C$6,IF(AND($H47="4th",$E47="Novice"),'Point Schedule'!$C$7,0))))</f>
        <v>0</v>
      </c>
      <c r="M47" s="102">
        <f>IF(AND($H47="1st",$E47="Open"),'Point Schedule'!$E$4,IF(AND($H47="2nd",$E47="Open"),'Point Schedule'!$E$5,IF(AND($H47="3rd",$E47="Open"),'Point Schedule'!$E$6,IF(AND($H47="4th",$E47="Open"),'Point Schedule'!$E$7,0))))</f>
        <v>0</v>
      </c>
      <c r="N47" s="107">
        <f>IF(AND($H47="1st",$E47="Excellent"),'Point Schedule'!$G$4,IF(AND($H47="2nd",$E47="Excellent"),'Point Schedule'!$G$5,IF(AND($H47="3rd",$E47="Excellent"),'Point Schedule'!$G$6,IF(AND($H47="4th",$E47="Excellent"),'Point Schedule'!$G$7,0))))</f>
        <v>0</v>
      </c>
      <c r="O47" s="107">
        <f>IF(AND($H47="1st",$E47="Masters"),'Point Schedule'!$I$4,IF(AND($H47="2nd",$E47="Masters"),'Point Schedule'!$I$5,IF(AND($H47="3rd",$E47="Masters"),'Point Schedule'!$I$6,IF(AND($H47="4th",$E47="Masters"),'Point Schedule'!$I$7,0))))</f>
        <v>0</v>
      </c>
      <c r="P47" s="102">
        <f>IF(AND($H47="1st",$E47="Premier"),'Point Schedule'!$H$4,IF(AND($H47="2nd",$E47="Premier"),'Point Schedule'!$H$5,IF(AND($H47="3rd",$E47="Premier"),'Point Schedule'!$H$6,IF(AND($H47="4th",$E47="Premier"),'Point Schedule'!$H$7,0))))</f>
        <v>0</v>
      </c>
      <c r="Q47" s="102">
        <f>IF(AND(E47="Novice",G47="Yes"),'Point Schedule'!$C$9,IF(AND(E47="Open",G47="Yes"),'Point Schedule'!$E$9,IF(AND(E47="T2B",G47="Yes"),'Point Schedule'!$E$9,IF(AND(E47="Excellent",G47="Yes"),'Point Schedule'!$G$9,IF(AND(E47="Masters",G47="YES"),'Point Schedule'!$I$9,IF(AND(E47="Premier",G47="YES"),'Point Schedule'!$H$9,0))))))</f>
        <v>0</v>
      </c>
      <c r="R47" s="105">
        <f>IF(I47="Yes",'Point Schedule'!$C$12,0)</f>
        <v>0</v>
      </c>
      <c r="S47" s="104">
        <f>IF(J47="Yes",'Point Schedule'!$C$13,0)</f>
        <v>0</v>
      </c>
      <c r="T47" s="104">
        <f>IF(K47="Yes",'Point Schedule'!$C$14,0)</f>
        <v>0</v>
      </c>
      <c r="U47" s="93">
        <f>IF(AND(B47=B95,NOT($B47=0),NOT(F47=F95)),'Point Schedule'!$C$11,0)</f>
        <v>0</v>
      </c>
      <c r="V47" s="761"/>
      <c r="Y47" s="178"/>
      <c r="Z47" s="179"/>
      <c r="AA47" s="175">
        <f t="shared" si="2"/>
        <v>0</v>
      </c>
      <c r="AB47" s="176">
        <f t="shared" si="3"/>
        <v>0</v>
      </c>
      <c r="AC47" s="177">
        <f t="shared" si="4"/>
        <v>0</v>
      </c>
      <c r="AD47" s="176">
        <f t="shared" si="5"/>
        <v>0</v>
      </c>
    </row>
    <row r="48" spans="1:30" ht="20.149999999999999" customHeight="1" x14ac:dyDescent="0.7">
      <c r="A48" s="387"/>
      <c r="B48" s="265"/>
      <c r="C48" s="716"/>
      <c r="D48" s="718"/>
      <c r="E48" s="264"/>
      <c r="F48" s="264"/>
      <c r="G48" s="264"/>
      <c r="H48" s="264"/>
      <c r="I48" s="264"/>
      <c r="J48" s="267"/>
      <c r="K48" s="267"/>
      <c r="L48" s="107">
        <f>IF(AND($H48="1st",$E48="Novice"),'Point Schedule'!$C$4,IF(AND($H48="2nd",$E48="Novice"),'Point Schedule'!$C$5,IF(AND($H48="3rd",$E48="Novice"),'Point Schedule'!$C$6,IF(AND($H48="4th",$E48="Novice"),'Point Schedule'!$C$7,0))))</f>
        <v>0</v>
      </c>
      <c r="M48" s="102">
        <f>IF(AND($H48="1st",$E48="Open"),'Point Schedule'!$E$4,IF(AND($H48="2nd",$E48="Open"),'Point Schedule'!$E$5,IF(AND($H48="3rd",$E48="Open"),'Point Schedule'!$E$6,IF(AND($H48="4th",$E48="Open"),'Point Schedule'!$E$7,0))))</f>
        <v>0</v>
      </c>
      <c r="N48" s="107">
        <f>IF(AND($H48="1st",$E48="Excellent"),'Point Schedule'!$G$4,IF(AND($H48="2nd",$E48="Excellent"),'Point Schedule'!$G$5,IF(AND($H48="3rd",$E48="Excellent"),'Point Schedule'!$G$6,IF(AND($H48="4th",$E48="Excellent"),'Point Schedule'!$G$7,0))))</f>
        <v>0</v>
      </c>
      <c r="O48" s="107">
        <f>IF(AND($H48="1st",$E48="Masters"),'Point Schedule'!$I$4,IF(AND($H48="2nd",$E48="Masters"),'Point Schedule'!$I$5,IF(AND($H48="3rd",$E48="Masters"),'Point Schedule'!$I$6,IF(AND($H48="4th",$E48="Masters"),'Point Schedule'!$I$7,0))))</f>
        <v>0</v>
      </c>
      <c r="P48" s="102">
        <f>IF(AND($H48="1st",$E48="Premier"),'Point Schedule'!$H$4,IF(AND($H48="2nd",$E48="Premier"),'Point Schedule'!$H$5,IF(AND($H48="3rd",$E48="Premier"),'Point Schedule'!$H$6,IF(AND($H48="4th",$E48="Premier"),'Point Schedule'!$H$7,0))))</f>
        <v>0</v>
      </c>
      <c r="Q48" s="102">
        <f>IF(AND(E48="Novice",G48="Yes"),'Point Schedule'!$C$9,IF(AND(E48="Open",G48="Yes"),'Point Schedule'!$E$9,IF(AND(E48="T2B",G48="Yes"),'Point Schedule'!$E$9,IF(AND(E48="Excellent",G48="Yes"),'Point Schedule'!$G$9,IF(AND(E48="Masters",G48="YES"),'Point Schedule'!$I$9,IF(AND(E48="Premier",G48="YES"),'Point Schedule'!$H$9,0))))))</f>
        <v>0</v>
      </c>
      <c r="R48" s="105">
        <f>IF(I48="Yes",'Point Schedule'!$C$12,0)</f>
        <v>0</v>
      </c>
      <c r="S48" s="104">
        <f>IF(J48="Yes",'Point Schedule'!$C$13,0)</f>
        <v>0</v>
      </c>
      <c r="T48" s="104">
        <f>IF(K48="Yes",'Point Schedule'!$C$14,0)</f>
        <v>0</v>
      </c>
      <c r="U48" s="93">
        <f>IF(AND(B48=B96,NOT($B48=0),NOT(F48=F96)),'Point Schedule'!$C$11,0)</f>
        <v>0</v>
      </c>
      <c r="V48" s="761"/>
      <c r="Y48" s="178"/>
      <c r="Z48" s="179"/>
      <c r="AA48" s="175">
        <f t="shared" si="2"/>
        <v>0</v>
      </c>
      <c r="AB48" s="176">
        <f t="shared" si="3"/>
        <v>0</v>
      </c>
      <c r="AC48" s="177">
        <f t="shared" si="4"/>
        <v>0</v>
      </c>
      <c r="AD48" s="176">
        <f t="shared" si="5"/>
        <v>0</v>
      </c>
    </row>
    <row r="49" spans="1:30" ht="20.149999999999999" customHeight="1" x14ac:dyDescent="0.7">
      <c r="A49" s="387"/>
      <c r="B49" s="265"/>
      <c r="C49" s="716"/>
      <c r="D49" s="718"/>
      <c r="E49" s="264"/>
      <c r="F49" s="264"/>
      <c r="G49" s="264"/>
      <c r="H49" s="264"/>
      <c r="I49" s="264"/>
      <c r="J49" s="267"/>
      <c r="K49" s="267"/>
      <c r="L49" s="107">
        <f>IF(AND($H49="1st",$E49="Novice"),'Point Schedule'!$C$4,IF(AND($H49="2nd",$E49="Novice"),'Point Schedule'!$C$5,IF(AND($H49="3rd",$E49="Novice"),'Point Schedule'!$C$6,IF(AND($H49="4th",$E49="Novice"),'Point Schedule'!$C$7,0))))</f>
        <v>0</v>
      </c>
      <c r="M49" s="102">
        <f>IF(AND($H49="1st",$E49="Open"),'Point Schedule'!$E$4,IF(AND($H49="2nd",$E49="Open"),'Point Schedule'!$E$5,IF(AND($H49="3rd",$E49="Open"),'Point Schedule'!$E$6,IF(AND($H49="4th",$E49="Open"),'Point Schedule'!$E$7,0))))</f>
        <v>0</v>
      </c>
      <c r="N49" s="107">
        <f>IF(AND($H49="1st",$E49="Excellent"),'Point Schedule'!$G$4,IF(AND($H49="2nd",$E49="Excellent"),'Point Schedule'!$G$5,IF(AND($H49="3rd",$E49="Excellent"),'Point Schedule'!$G$6,IF(AND($H49="4th",$E49="Excellent"),'Point Schedule'!$G$7,0))))</f>
        <v>0</v>
      </c>
      <c r="O49" s="107">
        <f>IF(AND($H49="1st",$E49="Masters"),'Point Schedule'!$I$4,IF(AND($H49="2nd",$E49="Masters"),'Point Schedule'!$I$5,IF(AND($H49="3rd",$E49="Masters"),'Point Schedule'!$I$6,IF(AND($H49="4th",$E49="Masters"),'Point Schedule'!$I$7,0))))</f>
        <v>0</v>
      </c>
      <c r="P49" s="102">
        <f>IF(AND($H49="1st",$E49="Premier"),'Point Schedule'!$H$4,IF(AND($H49="2nd",$E49="Premier"),'Point Schedule'!$H$5,IF(AND($H49="3rd",$E49="Premier"),'Point Schedule'!$H$6,IF(AND($H49="4th",$E49="Premier"),'Point Schedule'!$H$7,0))))</f>
        <v>0</v>
      </c>
      <c r="Q49" s="102">
        <f>IF(AND(E49="Novice",G49="Yes"),'Point Schedule'!$C$9,IF(AND(E49="Open",G49="Yes"),'Point Schedule'!$E$9,IF(AND(E49="T2B",G49="Yes"),'Point Schedule'!$E$9,IF(AND(E49="Excellent",G49="Yes"),'Point Schedule'!$G$9,IF(AND(E49="Masters",G49="YES"),'Point Schedule'!$I$9,IF(AND(E49="Premier",G49="YES"),'Point Schedule'!$H$9,0))))))</f>
        <v>0</v>
      </c>
      <c r="R49" s="105">
        <f>IF(I49="Yes",'Point Schedule'!$C$12,0)</f>
        <v>0</v>
      </c>
      <c r="S49" s="104">
        <f>IF(J49="Yes",'Point Schedule'!$C$13,0)</f>
        <v>0</v>
      </c>
      <c r="T49" s="104">
        <f>IF(K49="Yes",'Point Schedule'!$C$14,0)</f>
        <v>0</v>
      </c>
      <c r="U49" s="93">
        <f>IF(AND(B49=B97,NOT($B49=0),NOT(F49=F97)),'Point Schedule'!$C$11,0)</f>
        <v>0</v>
      </c>
      <c r="V49" s="761"/>
      <c r="Y49" s="178"/>
      <c r="Z49" s="179"/>
      <c r="AA49" s="175">
        <f t="shared" si="2"/>
        <v>0</v>
      </c>
      <c r="AB49" s="176">
        <f t="shared" si="3"/>
        <v>0</v>
      </c>
      <c r="AC49" s="177">
        <f t="shared" si="4"/>
        <v>0</v>
      </c>
      <c r="AD49" s="176">
        <f t="shared" si="5"/>
        <v>0</v>
      </c>
    </row>
    <row r="50" spans="1:30" ht="20.149999999999999" customHeight="1" x14ac:dyDescent="0.7">
      <c r="A50" s="387"/>
      <c r="B50" s="265"/>
      <c r="C50" s="716"/>
      <c r="D50" s="718"/>
      <c r="E50" s="264"/>
      <c r="F50" s="264"/>
      <c r="G50" s="264"/>
      <c r="H50" s="264"/>
      <c r="I50" s="264"/>
      <c r="J50" s="267"/>
      <c r="K50" s="267"/>
      <c r="L50" s="107">
        <f>IF(AND($H50="1st",$E50="Novice"),'Point Schedule'!$C$4,IF(AND($H50="2nd",$E50="Novice"),'Point Schedule'!$C$5,IF(AND($H50="3rd",$E50="Novice"),'Point Schedule'!$C$6,IF(AND($H50="4th",$E50="Novice"),'Point Schedule'!$C$7,0))))</f>
        <v>0</v>
      </c>
      <c r="M50" s="102">
        <f>IF(AND($H50="1st",$E50="Open"),'Point Schedule'!$E$4,IF(AND($H50="2nd",$E50="Open"),'Point Schedule'!$E$5,IF(AND($H50="3rd",$E50="Open"),'Point Schedule'!$E$6,IF(AND($H50="4th",$E50="Open"),'Point Schedule'!$E$7,0))))</f>
        <v>0</v>
      </c>
      <c r="N50" s="107">
        <f>IF(AND($H50="1st",$E50="Excellent"),'Point Schedule'!$G$4,IF(AND($H50="2nd",$E50="Excellent"),'Point Schedule'!$G$5,IF(AND($H50="3rd",$E50="Excellent"),'Point Schedule'!$G$6,IF(AND($H50="4th",$E50="Excellent"),'Point Schedule'!$G$7,0))))</f>
        <v>0</v>
      </c>
      <c r="O50" s="107">
        <f>IF(AND($H50="1st",$E50="Masters"),'Point Schedule'!$I$4,IF(AND($H50="2nd",$E50="Masters"),'Point Schedule'!$I$5,IF(AND($H50="3rd",$E50="Masters"),'Point Schedule'!$I$6,IF(AND($H50="4th",$E50="Masters"),'Point Schedule'!$I$7,0))))</f>
        <v>0</v>
      </c>
      <c r="P50" s="102">
        <f>IF(AND($H50="1st",$E50="Premier"),'Point Schedule'!$H$4,IF(AND($H50="2nd",$E50="Premier"),'Point Schedule'!$H$5,IF(AND($H50="3rd",$E50="Premier"),'Point Schedule'!$H$6,IF(AND($H50="4th",$E50="Premier"),'Point Schedule'!$H$7,0))))</f>
        <v>0</v>
      </c>
      <c r="Q50" s="102">
        <f>IF(AND(E50="Novice",G50="Yes"),'Point Schedule'!$C$9,IF(AND(E50="Open",G50="Yes"),'Point Schedule'!$E$9,IF(AND(E50="T2B",G50="Yes"),'Point Schedule'!$E$9,IF(AND(E50="Excellent",G50="Yes"),'Point Schedule'!$G$9,IF(AND(E50="Masters",G50="YES"),'Point Schedule'!$I$9,IF(AND(E50="Premier",G50="YES"),'Point Schedule'!$H$9,0))))))</f>
        <v>0</v>
      </c>
      <c r="R50" s="105">
        <f>IF(I50="Yes",'Point Schedule'!$C$12,0)</f>
        <v>0</v>
      </c>
      <c r="S50" s="104">
        <f>IF(J50="Yes",'Point Schedule'!$C$13,0)</f>
        <v>0</v>
      </c>
      <c r="T50" s="104">
        <f>IF(K50="Yes",'Point Schedule'!$C$14,0)</f>
        <v>0</v>
      </c>
      <c r="U50" s="93">
        <f>IF(AND(B50=B98,NOT($B50=0),NOT(F50=F98)),'Point Schedule'!$C$11,0)</f>
        <v>0</v>
      </c>
      <c r="V50" s="761"/>
      <c r="Y50" s="178"/>
      <c r="Z50" s="179"/>
      <c r="AA50" s="175">
        <f t="shared" si="2"/>
        <v>0</v>
      </c>
      <c r="AB50" s="176">
        <f t="shared" si="3"/>
        <v>0</v>
      </c>
      <c r="AC50" s="177">
        <f t="shared" si="4"/>
        <v>0</v>
      </c>
      <c r="AD50" s="176">
        <f t="shared" si="5"/>
        <v>0</v>
      </c>
    </row>
    <row r="51" spans="1:30" ht="20.149999999999999" customHeight="1" x14ac:dyDescent="0.7">
      <c r="A51" s="387"/>
      <c r="B51" s="265"/>
      <c r="C51" s="716"/>
      <c r="D51" s="718"/>
      <c r="E51" s="264"/>
      <c r="F51" s="264"/>
      <c r="G51" s="264"/>
      <c r="H51" s="264"/>
      <c r="I51" s="264"/>
      <c r="J51" s="267"/>
      <c r="K51" s="267"/>
      <c r="L51" s="107">
        <f>IF(AND($H51="1st",$E51="Novice"),'Point Schedule'!$C$4,IF(AND($H51="2nd",$E51="Novice"),'Point Schedule'!$C$5,IF(AND($H51="3rd",$E51="Novice"),'Point Schedule'!$C$6,IF(AND($H51="4th",$E51="Novice"),'Point Schedule'!$C$7,0))))</f>
        <v>0</v>
      </c>
      <c r="M51" s="102">
        <f>IF(AND($H51="1st",$E51="Open"),'Point Schedule'!$E$4,IF(AND($H51="2nd",$E51="Open"),'Point Schedule'!$E$5,IF(AND($H51="3rd",$E51="Open"),'Point Schedule'!$E$6,IF(AND($H51="4th",$E51="Open"),'Point Schedule'!$E$7,0))))</f>
        <v>0</v>
      </c>
      <c r="N51" s="107">
        <f>IF(AND($H51="1st",$E51="Excellent"),'Point Schedule'!$G$4,IF(AND($H51="2nd",$E51="Excellent"),'Point Schedule'!$G$5,IF(AND($H51="3rd",$E51="Excellent"),'Point Schedule'!$G$6,IF(AND($H51="4th",$E51="Excellent"),'Point Schedule'!$G$7,0))))</f>
        <v>0</v>
      </c>
      <c r="O51" s="107">
        <f>IF(AND($H51="1st",$E51="Masters"),'Point Schedule'!$I$4,IF(AND($H51="2nd",$E51="Masters"),'Point Schedule'!$I$5,IF(AND($H51="3rd",$E51="Masters"),'Point Schedule'!$I$6,IF(AND($H51="4th",$E51="Masters"),'Point Schedule'!$I$7,0))))</f>
        <v>0</v>
      </c>
      <c r="P51" s="102">
        <f>IF(AND($H51="1st",$E51="Premier"),'Point Schedule'!$H$4,IF(AND($H51="2nd",$E51="Premier"),'Point Schedule'!$H$5,IF(AND($H51="3rd",$E51="Premier"),'Point Schedule'!$H$6,IF(AND($H51="4th",$E51="Premier"),'Point Schedule'!$H$7,0))))</f>
        <v>0</v>
      </c>
      <c r="Q51" s="102">
        <f>IF(AND(E51="Novice",G51="Yes"),'Point Schedule'!$C$9,IF(AND(E51="Open",G51="Yes"),'Point Schedule'!$E$9,IF(AND(E51="T2B",G51="Yes"),'Point Schedule'!$E$9,IF(AND(E51="Excellent",G51="Yes"),'Point Schedule'!$G$9,IF(AND(E51="Masters",G51="YES"),'Point Schedule'!$I$9,IF(AND(E51="Premier",G51="YES"),'Point Schedule'!$H$9,0))))))</f>
        <v>0</v>
      </c>
      <c r="R51" s="105">
        <f>IF(I51="Yes",'Point Schedule'!$C$12,0)</f>
        <v>0</v>
      </c>
      <c r="S51" s="104">
        <f>IF(J51="Yes",'Point Schedule'!$C$13,0)</f>
        <v>0</v>
      </c>
      <c r="T51" s="104">
        <f>IF(K51="Yes",'Point Schedule'!$C$14,0)</f>
        <v>0</v>
      </c>
      <c r="U51" s="93">
        <f>IF(AND(B51=B99,NOT($B51=0),NOT(F51=F99)),'Point Schedule'!$C$11,0)</f>
        <v>0</v>
      </c>
      <c r="V51" s="761"/>
      <c r="Y51" s="178"/>
      <c r="Z51" s="179"/>
      <c r="AA51" s="175">
        <f t="shared" si="2"/>
        <v>0</v>
      </c>
      <c r="AB51" s="176">
        <f t="shared" si="3"/>
        <v>0</v>
      </c>
      <c r="AC51" s="177">
        <f t="shared" si="4"/>
        <v>0</v>
      </c>
      <c r="AD51" s="176">
        <f t="shared" si="5"/>
        <v>0</v>
      </c>
    </row>
    <row r="52" spans="1:30" ht="20.149999999999999" customHeight="1" x14ac:dyDescent="0.7">
      <c r="A52" s="387"/>
      <c r="B52" s="265"/>
      <c r="C52" s="716"/>
      <c r="D52" s="718"/>
      <c r="E52" s="264"/>
      <c r="F52" s="264"/>
      <c r="G52" s="264"/>
      <c r="H52" s="264"/>
      <c r="I52" s="264"/>
      <c r="J52" s="267"/>
      <c r="K52" s="267"/>
      <c r="L52" s="107">
        <f>IF(AND($H52="1st",$E52="Novice"),'Point Schedule'!$C$4,IF(AND($H52="2nd",$E52="Novice"),'Point Schedule'!$C$5,IF(AND($H52="3rd",$E52="Novice"),'Point Schedule'!$C$6,IF(AND($H52="4th",$E52="Novice"),'Point Schedule'!$C$7,0))))</f>
        <v>0</v>
      </c>
      <c r="M52" s="102">
        <f>IF(AND($H52="1st",$E52="Open"),'Point Schedule'!$E$4,IF(AND($H52="2nd",$E52="Open"),'Point Schedule'!$E$5,IF(AND($H52="3rd",$E52="Open"),'Point Schedule'!$E$6,IF(AND($H52="4th",$E52="Open"),'Point Schedule'!$E$7,0))))</f>
        <v>0</v>
      </c>
      <c r="N52" s="107">
        <f>IF(AND($H52="1st",$E52="Excellent"),'Point Schedule'!$G$4,IF(AND($H52="2nd",$E52="Excellent"),'Point Schedule'!$G$5,IF(AND($H52="3rd",$E52="Excellent"),'Point Schedule'!$G$6,IF(AND($H52="4th",$E52="Excellent"),'Point Schedule'!$G$7,0))))</f>
        <v>0</v>
      </c>
      <c r="O52" s="107">
        <f>IF(AND($H52="1st",$E52="Masters"),'Point Schedule'!$I$4,IF(AND($H52="2nd",$E52="Masters"),'Point Schedule'!$I$5,IF(AND($H52="3rd",$E52="Masters"),'Point Schedule'!$I$6,IF(AND($H52="4th",$E52="Masters"),'Point Schedule'!$I$7,0))))</f>
        <v>0</v>
      </c>
      <c r="P52" s="102">
        <f>IF(AND($H52="1st",$E52="Premier"),'Point Schedule'!$H$4,IF(AND($H52="2nd",$E52="Premier"),'Point Schedule'!$H$5,IF(AND($H52="3rd",$E52="Premier"),'Point Schedule'!$H$6,IF(AND($H52="4th",$E52="Premier"),'Point Schedule'!$H$7,0))))</f>
        <v>0</v>
      </c>
      <c r="Q52" s="102">
        <f>IF(AND(E52="Novice",G52="Yes"),'Point Schedule'!$C$9,IF(AND(E52="Open",G52="Yes"),'Point Schedule'!$E$9,IF(AND(E52="T2B",G52="Yes"),'Point Schedule'!$E$9,IF(AND(E52="Excellent",G52="Yes"),'Point Schedule'!$G$9,IF(AND(E52="Masters",G52="YES"),'Point Schedule'!$I$9,IF(AND(E52="Premier",G52="YES"),'Point Schedule'!$H$9,0))))))</f>
        <v>0</v>
      </c>
      <c r="R52" s="105">
        <f>IF(I52="Yes",'Point Schedule'!$C$12,0)</f>
        <v>0</v>
      </c>
      <c r="S52" s="104">
        <f>IF(J52="Yes",'Point Schedule'!$C$13,0)</f>
        <v>0</v>
      </c>
      <c r="T52" s="104">
        <f>IF(K52="Yes",'Point Schedule'!$C$14,0)</f>
        <v>0</v>
      </c>
      <c r="U52" s="93">
        <f>IF(AND(B52=B100,NOT($B52=0),NOT(F52=F100)),'Point Schedule'!$C$11,0)</f>
        <v>0</v>
      </c>
      <c r="V52" s="761"/>
      <c r="Y52" s="178"/>
      <c r="Z52" s="179"/>
      <c r="AA52" s="175">
        <f t="shared" si="2"/>
        <v>0</v>
      </c>
      <c r="AB52" s="176">
        <f t="shared" si="3"/>
        <v>0</v>
      </c>
      <c r="AC52" s="177">
        <f t="shared" si="4"/>
        <v>0</v>
      </c>
      <c r="AD52" s="176">
        <f t="shared" si="5"/>
        <v>0</v>
      </c>
    </row>
    <row r="53" spans="1:30" ht="20.149999999999999" customHeight="1" x14ac:dyDescent="0.7">
      <c r="A53" s="387"/>
      <c r="B53" s="265"/>
      <c r="C53" s="716"/>
      <c r="D53" s="718"/>
      <c r="E53" s="264"/>
      <c r="F53" s="264"/>
      <c r="G53" s="264"/>
      <c r="H53" s="264"/>
      <c r="I53" s="264"/>
      <c r="J53" s="267"/>
      <c r="K53" s="267"/>
      <c r="L53" s="107">
        <f>IF(AND($H53="1st",$E53="Novice"),'Point Schedule'!$C$4,IF(AND($H53="2nd",$E53="Novice"),'Point Schedule'!$C$5,IF(AND($H53="3rd",$E53="Novice"),'Point Schedule'!$C$6,IF(AND($H53="4th",$E53="Novice"),'Point Schedule'!$C$7,0))))</f>
        <v>0</v>
      </c>
      <c r="M53" s="102">
        <f>IF(AND($H53="1st",$E53="Open"),'Point Schedule'!$E$4,IF(AND($H53="2nd",$E53="Open"),'Point Schedule'!$E$5,IF(AND($H53="3rd",$E53="Open"),'Point Schedule'!$E$6,IF(AND($H53="4th",$E53="Open"),'Point Schedule'!$E$7,0))))</f>
        <v>0</v>
      </c>
      <c r="N53" s="107">
        <f>IF(AND($H53="1st",$E53="Excellent"),'Point Schedule'!$G$4,IF(AND($H53="2nd",$E53="Excellent"),'Point Schedule'!$G$5,IF(AND($H53="3rd",$E53="Excellent"),'Point Schedule'!$G$6,IF(AND($H53="4th",$E53="Excellent"),'Point Schedule'!$G$7,0))))</f>
        <v>0</v>
      </c>
      <c r="O53" s="107">
        <f>IF(AND($H53="1st",$E53="Masters"),'Point Schedule'!$I$4,IF(AND($H53="2nd",$E53="Masters"),'Point Schedule'!$I$5,IF(AND($H53="3rd",$E53="Masters"),'Point Schedule'!$I$6,IF(AND($H53="4th",$E53="Masters"),'Point Schedule'!$I$7,0))))</f>
        <v>0</v>
      </c>
      <c r="P53" s="102">
        <f>IF(AND($H53="1st",$E53="Premier"),'Point Schedule'!$H$4,IF(AND($H53="2nd",$E53="Premier"),'Point Schedule'!$H$5,IF(AND($H53="3rd",$E53="Premier"),'Point Schedule'!$H$6,IF(AND($H53="4th",$E53="Premier"),'Point Schedule'!$H$7,0))))</f>
        <v>0</v>
      </c>
      <c r="Q53" s="102">
        <f>IF(AND(E53="Novice",G53="Yes"),'Point Schedule'!$C$9,IF(AND(E53="Open",G53="Yes"),'Point Schedule'!$E$9,IF(AND(E53="T2B",G53="Yes"),'Point Schedule'!$E$9,IF(AND(E53="Excellent",G53="Yes"),'Point Schedule'!$G$9,IF(AND(E53="Masters",G53="YES"),'Point Schedule'!$I$9,IF(AND(E53="Premier",G53="YES"),'Point Schedule'!$H$9,0))))))</f>
        <v>0</v>
      </c>
      <c r="R53" s="105">
        <f>IF(I53="Yes",'Point Schedule'!$C$12,0)</f>
        <v>0</v>
      </c>
      <c r="S53" s="104">
        <f>IF(J53="Yes",'Point Schedule'!$C$13,0)</f>
        <v>0</v>
      </c>
      <c r="T53" s="104">
        <f>IF(K53="Yes",'Point Schedule'!$C$14,0)</f>
        <v>0</v>
      </c>
      <c r="U53" s="93">
        <f>IF(AND(B53=B101,NOT($B53=0),NOT(F53=F101)),'Point Schedule'!$C$11,0)</f>
        <v>0</v>
      </c>
      <c r="V53" s="761"/>
      <c r="Y53" s="178"/>
      <c r="Z53" s="179"/>
      <c r="AA53" s="175">
        <f t="shared" si="2"/>
        <v>0</v>
      </c>
      <c r="AB53" s="176">
        <f t="shared" si="3"/>
        <v>0</v>
      </c>
      <c r="AC53" s="177">
        <f t="shared" si="4"/>
        <v>0</v>
      </c>
      <c r="AD53" s="176">
        <f t="shared" si="5"/>
        <v>0</v>
      </c>
    </row>
    <row r="54" spans="1:30" ht="20.149999999999999" customHeight="1" x14ac:dyDescent="0.7">
      <c r="A54" s="387"/>
      <c r="B54" s="265"/>
      <c r="C54" s="716"/>
      <c r="D54" s="718"/>
      <c r="E54" s="264"/>
      <c r="F54" s="264"/>
      <c r="G54" s="264"/>
      <c r="H54" s="264"/>
      <c r="I54" s="264"/>
      <c r="J54" s="267"/>
      <c r="K54" s="267"/>
      <c r="L54" s="107">
        <f>IF(AND($H54="1st",$E54="Novice"),'Point Schedule'!$C$4,IF(AND($H54="2nd",$E54="Novice"),'Point Schedule'!$C$5,IF(AND($H54="3rd",$E54="Novice"),'Point Schedule'!$C$6,IF(AND($H54="4th",$E54="Novice"),'Point Schedule'!$C$7,0))))</f>
        <v>0</v>
      </c>
      <c r="M54" s="102">
        <f>IF(AND($H54="1st",$E54="Open"),'Point Schedule'!$E$4,IF(AND($H54="2nd",$E54="Open"),'Point Schedule'!$E$5,IF(AND($H54="3rd",$E54="Open"),'Point Schedule'!$E$6,IF(AND($H54="4th",$E54="Open"),'Point Schedule'!$E$7,0))))</f>
        <v>0</v>
      </c>
      <c r="N54" s="107">
        <f>IF(AND($H54="1st",$E54="Excellent"),'Point Schedule'!$G$4,IF(AND($H54="2nd",$E54="Excellent"),'Point Schedule'!$G$5,IF(AND($H54="3rd",$E54="Excellent"),'Point Schedule'!$G$6,IF(AND($H54="4th",$E54="Excellent"),'Point Schedule'!$G$7,0))))</f>
        <v>0</v>
      </c>
      <c r="O54" s="107">
        <f>IF(AND($H54="1st",$E54="Masters"),'Point Schedule'!$I$4,IF(AND($H54="2nd",$E54="Masters"),'Point Schedule'!$I$5,IF(AND($H54="3rd",$E54="Masters"),'Point Schedule'!$I$6,IF(AND($H54="4th",$E54="Masters"),'Point Schedule'!$I$7,0))))</f>
        <v>0</v>
      </c>
      <c r="P54" s="102">
        <f>IF(AND($H54="1st",$E54="Premier"),'Point Schedule'!$H$4,IF(AND($H54="2nd",$E54="Premier"),'Point Schedule'!$H$5,IF(AND($H54="3rd",$E54="Premier"),'Point Schedule'!$H$6,IF(AND($H54="4th",$E54="Premier"),'Point Schedule'!$H$7,0))))</f>
        <v>0</v>
      </c>
      <c r="Q54" s="102">
        <f>IF(AND(E54="Novice",G54="Yes"),'Point Schedule'!$C$9,IF(AND(E54="Open",G54="Yes"),'Point Schedule'!$E$9,IF(AND(E54="T2B",G54="Yes"),'Point Schedule'!$E$9,IF(AND(E54="Excellent",G54="Yes"),'Point Schedule'!$G$9,IF(AND(E54="Masters",G54="YES"),'Point Schedule'!$I$9,IF(AND(E54="Premier",G54="YES"),'Point Schedule'!$H$9,0))))))</f>
        <v>0</v>
      </c>
      <c r="R54" s="105">
        <f>IF(I54="Yes",'Point Schedule'!$C$12,0)</f>
        <v>0</v>
      </c>
      <c r="S54" s="104">
        <f>IF(J54="Yes",'Point Schedule'!$C$13,0)</f>
        <v>0</v>
      </c>
      <c r="T54" s="104">
        <f>IF(K54="Yes",'Point Schedule'!$C$14,0)</f>
        <v>0</v>
      </c>
      <c r="U54" s="93">
        <f>IF(AND(B54=B102,NOT($B54=0),NOT(F54=F102)),'Point Schedule'!$C$11,0)</f>
        <v>0</v>
      </c>
      <c r="V54" s="761"/>
      <c r="Y54" s="178"/>
      <c r="Z54" s="179"/>
      <c r="AA54" s="175">
        <f t="shared" si="2"/>
        <v>0</v>
      </c>
      <c r="AB54" s="176">
        <f t="shared" si="3"/>
        <v>0</v>
      </c>
      <c r="AC54" s="177">
        <f t="shared" si="4"/>
        <v>0</v>
      </c>
      <c r="AD54" s="176">
        <f t="shared" si="5"/>
        <v>0</v>
      </c>
    </row>
    <row r="55" spans="1:30" ht="20.149999999999999" customHeight="1" x14ac:dyDescent="0.7">
      <c r="A55" s="387"/>
      <c r="B55" s="265"/>
      <c r="C55" s="716"/>
      <c r="D55" s="718"/>
      <c r="E55" s="264"/>
      <c r="F55" s="264"/>
      <c r="G55" s="264"/>
      <c r="H55" s="264"/>
      <c r="I55" s="264"/>
      <c r="J55" s="267"/>
      <c r="K55" s="267"/>
      <c r="L55" s="107">
        <f>IF(AND($H55="1st",$E55="Novice"),'Point Schedule'!$C$4,IF(AND($H55="2nd",$E55="Novice"),'Point Schedule'!$C$5,IF(AND($H55="3rd",$E55="Novice"),'Point Schedule'!$C$6,IF(AND($H55="4th",$E55="Novice"),'Point Schedule'!$C$7,0))))</f>
        <v>0</v>
      </c>
      <c r="M55" s="102">
        <f>IF(AND($H55="1st",$E55="Open"),'Point Schedule'!$E$4,IF(AND($H55="2nd",$E55="Open"),'Point Schedule'!$E$5,IF(AND($H55="3rd",$E55="Open"),'Point Schedule'!$E$6,IF(AND($H55="4th",$E55="Open"),'Point Schedule'!$E$7,0))))</f>
        <v>0</v>
      </c>
      <c r="N55" s="107">
        <f>IF(AND($H55="1st",$E55="Excellent"),'Point Schedule'!$G$4,IF(AND($H55="2nd",$E55="Excellent"),'Point Schedule'!$G$5,IF(AND($H55="3rd",$E55="Excellent"),'Point Schedule'!$G$6,IF(AND($H55="4th",$E55="Excellent"),'Point Schedule'!$G$7,0))))</f>
        <v>0</v>
      </c>
      <c r="O55" s="107">
        <f>IF(AND($H55="1st",$E55="Masters"),'Point Schedule'!$I$4,IF(AND($H55="2nd",$E55="Masters"),'Point Schedule'!$I$5,IF(AND($H55="3rd",$E55="Masters"),'Point Schedule'!$I$6,IF(AND($H55="4th",$E55="Masters"),'Point Schedule'!$I$7,0))))</f>
        <v>0</v>
      </c>
      <c r="P55" s="102">
        <f>IF(AND($H55="1st",$E55="Premier"),'Point Schedule'!$H$4,IF(AND($H55="2nd",$E55="Premier"),'Point Schedule'!$H$5,IF(AND($H55="3rd",$E55="Premier"),'Point Schedule'!$H$6,IF(AND($H55="4th",$E55="Premier"),'Point Schedule'!$H$7,0))))</f>
        <v>0</v>
      </c>
      <c r="Q55" s="102">
        <f>IF(AND(E55="Novice",G55="Yes"),'Point Schedule'!$C$9,IF(AND(E55="Open",G55="Yes"),'Point Schedule'!$E$9,IF(AND(E55="T2B",G55="Yes"),'Point Schedule'!$E$9,IF(AND(E55="Excellent",G55="Yes"),'Point Schedule'!$G$9,IF(AND(E55="Masters",G55="YES"),'Point Schedule'!$I$9,IF(AND(E55="Premier",G55="YES"),'Point Schedule'!$H$9,0))))))</f>
        <v>0</v>
      </c>
      <c r="R55" s="105">
        <f>IF(I55="Yes",'Point Schedule'!$C$12,0)</f>
        <v>0</v>
      </c>
      <c r="S55" s="104">
        <f>IF(J55="Yes",'Point Schedule'!$C$13,0)</f>
        <v>0</v>
      </c>
      <c r="T55" s="104">
        <f>IF(K55="Yes",'Point Schedule'!$C$14,0)</f>
        <v>0</v>
      </c>
      <c r="U55" s="93">
        <f>IF(AND(B55=B103,NOT($B55=0),NOT(F55=F103)),'Point Schedule'!$C$11,0)</f>
        <v>0</v>
      </c>
      <c r="V55" s="761"/>
      <c r="Y55" s="178"/>
      <c r="Z55" s="179"/>
      <c r="AA55" s="175">
        <f t="shared" si="2"/>
        <v>0</v>
      </c>
      <c r="AB55" s="176">
        <f t="shared" si="3"/>
        <v>0</v>
      </c>
      <c r="AC55" s="177">
        <f t="shared" si="4"/>
        <v>0</v>
      </c>
      <c r="AD55" s="176">
        <f t="shared" si="5"/>
        <v>0</v>
      </c>
    </row>
    <row r="56" spans="1:30" ht="20.149999999999999" customHeight="1" x14ac:dyDescent="0.7">
      <c r="A56" s="387"/>
      <c r="B56" s="265"/>
      <c r="C56" s="716"/>
      <c r="D56" s="718"/>
      <c r="E56" s="264"/>
      <c r="F56" s="264"/>
      <c r="G56" s="264"/>
      <c r="H56" s="264"/>
      <c r="I56" s="264"/>
      <c r="J56" s="267"/>
      <c r="K56" s="267"/>
      <c r="L56" s="107">
        <f>IF(AND($H56="1st",$E56="Novice"),'Point Schedule'!$C$4,IF(AND($H56="2nd",$E56="Novice"),'Point Schedule'!$C$5,IF(AND($H56="3rd",$E56="Novice"),'Point Schedule'!$C$6,IF(AND($H56="4th",$E56="Novice"),'Point Schedule'!$C$7,0))))</f>
        <v>0</v>
      </c>
      <c r="M56" s="102">
        <f>IF(AND($H56="1st",$E56="Open"),'Point Schedule'!$E$4,IF(AND($H56="2nd",$E56="Open"),'Point Schedule'!$E$5,IF(AND($H56="3rd",$E56="Open"),'Point Schedule'!$E$6,IF(AND($H56="4th",$E56="Open"),'Point Schedule'!$E$7,0))))</f>
        <v>0</v>
      </c>
      <c r="N56" s="107">
        <f>IF(AND($H56="1st",$E56="Excellent"),'Point Schedule'!$G$4,IF(AND($H56="2nd",$E56="Excellent"),'Point Schedule'!$G$5,IF(AND($H56="3rd",$E56="Excellent"),'Point Schedule'!$G$6,IF(AND($H56="4th",$E56="Excellent"),'Point Schedule'!$G$7,0))))</f>
        <v>0</v>
      </c>
      <c r="O56" s="107">
        <f>IF(AND($H56="1st",$E56="Masters"),'Point Schedule'!$I$4,IF(AND($H56="2nd",$E56="Masters"),'Point Schedule'!$I$5,IF(AND($H56="3rd",$E56="Masters"),'Point Schedule'!$I$6,IF(AND($H56="4th",$E56="Masters"),'Point Schedule'!$I$7,0))))</f>
        <v>0</v>
      </c>
      <c r="P56" s="102">
        <f>IF(AND($H56="1st",$E56="Premier"),'Point Schedule'!$H$4,IF(AND($H56="2nd",$E56="Premier"),'Point Schedule'!$H$5,IF(AND($H56="3rd",$E56="Premier"),'Point Schedule'!$H$6,IF(AND($H56="4th",$E56="Premier"),'Point Schedule'!$H$7,0))))</f>
        <v>0</v>
      </c>
      <c r="Q56" s="102">
        <f>IF(AND(E56="Novice",G56="Yes"),'Point Schedule'!$C$9,IF(AND(E56="Open",G56="Yes"),'Point Schedule'!$E$9,IF(AND(E56="T2B",G56="Yes"),'Point Schedule'!$E$9,IF(AND(E56="Excellent",G56="Yes"),'Point Schedule'!$G$9,IF(AND(E56="Masters",G56="YES"),'Point Schedule'!$I$9,IF(AND(E56="Premier",G56="YES"),'Point Schedule'!$H$9,0))))))</f>
        <v>0</v>
      </c>
      <c r="R56" s="105">
        <f>IF(I56="Yes",'Point Schedule'!$C$12,0)</f>
        <v>0</v>
      </c>
      <c r="S56" s="104">
        <f>IF(J56="Yes",'Point Schedule'!$C$13,0)</f>
        <v>0</v>
      </c>
      <c r="T56" s="104">
        <f>IF(K56="Yes",'Point Schedule'!$C$14,0)</f>
        <v>0</v>
      </c>
      <c r="U56" s="93">
        <f>IF(AND(B56=B104,NOT($B56=0),NOT(F56=F104)),'Point Schedule'!$C$11,0)</f>
        <v>0</v>
      </c>
      <c r="V56" s="761"/>
      <c r="Y56" s="178"/>
      <c r="Z56" s="179"/>
      <c r="AA56" s="175">
        <f t="shared" si="2"/>
        <v>0</v>
      </c>
      <c r="AB56" s="176">
        <f t="shared" si="3"/>
        <v>0</v>
      </c>
      <c r="AC56" s="177">
        <f t="shared" si="4"/>
        <v>0</v>
      </c>
      <c r="AD56" s="176">
        <f t="shared" si="5"/>
        <v>0</v>
      </c>
    </row>
    <row r="57" spans="1:30" ht="20.149999999999999" customHeight="1" x14ac:dyDescent="0.7">
      <c r="A57" s="387"/>
      <c r="B57" s="265"/>
      <c r="C57" s="716"/>
      <c r="D57" s="718"/>
      <c r="E57" s="264"/>
      <c r="F57" s="264"/>
      <c r="G57" s="264"/>
      <c r="H57" s="264"/>
      <c r="I57" s="264"/>
      <c r="J57" s="267"/>
      <c r="K57" s="267"/>
      <c r="L57" s="107">
        <f>IF(AND($H57="1st",$E57="Novice"),'Point Schedule'!$C$4,IF(AND($H57="2nd",$E57="Novice"),'Point Schedule'!$C$5,IF(AND($H57="3rd",$E57="Novice"),'Point Schedule'!$C$6,IF(AND($H57="4th",$E57="Novice"),'Point Schedule'!$C$7,0))))</f>
        <v>0</v>
      </c>
      <c r="M57" s="102">
        <f>IF(AND($H57="1st",$E57="Open"),'Point Schedule'!$E$4,IF(AND($H57="2nd",$E57="Open"),'Point Schedule'!$E$5,IF(AND($H57="3rd",$E57="Open"),'Point Schedule'!$E$6,IF(AND($H57="4th",$E57="Open"),'Point Schedule'!$E$7,0))))</f>
        <v>0</v>
      </c>
      <c r="N57" s="107">
        <f>IF(AND($H57="1st",$E57="Excellent"),'Point Schedule'!$G$4,IF(AND($H57="2nd",$E57="Excellent"),'Point Schedule'!$G$5,IF(AND($H57="3rd",$E57="Excellent"),'Point Schedule'!$G$6,IF(AND($H57="4th",$E57="Excellent"),'Point Schedule'!$G$7,0))))</f>
        <v>0</v>
      </c>
      <c r="O57" s="107">
        <f>IF(AND($H57="1st",$E57="Masters"),'Point Schedule'!$I$4,IF(AND($H57="2nd",$E57="Masters"),'Point Schedule'!$I$5,IF(AND($H57="3rd",$E57="Masters"),'Point Schedule'!$I$6,IF(AND($H57="4th",$E57="Masters"),'Point Schedule'!$I$7,0))))</f>
        <v>0</v>
      </c>
      <c r="P57" s="102">
        <f>IF(AND($H57="1st",$E57="Premier"),'Point Schedule'!$H$4,IF(AND($H57="2nd",$E57="Premier"),'Point Schedule'!$H$5,IF(AND($H57="3rd",$E57="Premier"),'Point Schedule'!$H$6,IF(AND($H57="4th",$E57="Premier"),'Point Schedule'!$H$7,0))))</f>
        <v>0</v>
      </c>
      <c r="Q57" s="102">
        <f>IF(AND(E57="Novice",G57="Yes"),'Point Schedule'!$C$9,IF(AND(E57="Open",G57="Yes"),'Point Schedule'!$E$9,IF(AND(E57="T2B",G57="Yes"),'Point Schedule'!$E$9,IF(AND(E57="Excellent",G57="Yes"),'Point Schedule'!$G$9,IF(AND(E57="Masters",G57="YES"),'Point Schedule'!$I$9,IF(AND(E57="Premier",G57="YES"),'Point Schedule'!$H$9,0))))))</f>
        <v>0</v>
      </c>
      <c r="R57" s="105">
        <f>IF(I57="Yes",'Point Schedule'!$C$12,0)</f>
        <v>0</v>
      </c>
      <c r="S57" s="104">
        <f>IF(J57="Yes",'Point Schedule'!$C$13,0)</f>
        <v>0</v>
      </c>
      <c r="T57" s="104">
        <f>IF(K57="Yes",'Point Schedule'!$C$14,0)</f>
        <v>0</v>
      </c>
      <c r="U57" s="93">
        <f>IF(AND(B57=B105,NOT($B57=0),NOT(F57=F105)),'Point Schedule'!$C$11,0)</f>
        <v>0</v>
      </c>
      <c r="V57" s="761"/>
      <c r="Y57" s="178"/>
      <c r="Z57" s="179"/>
      <c r="AA57" s="175">
        <f t="shared" si="2"/>
        <v>0</v>
      </c>
      <c r="AB57" s="176">
        <f t="shared" si="3"/>
        <v>0</v>
      </c>
      <c r="AC57" s="177">
        <f t="shared" si="4"/>
        <v>0</v>
      </c>
      <c r="AD57" s="176">
        <f t="shared" si="5"/>
        <v>0</v>
      </c>
    </row>
    <row r="58" spans="1:30" ht="20.149999999999999" customHeight="1" x14ac:dyDescent="0.7">
      <c r="A58" s="387"/>
      <c r="B58" s="265"/>
      <c r="C58" s="716"/>
      <c r="D58" s="718"/>
      <c r="E58" s="264"/>
      <c r="F58" s="264"/>
      <c r="G58" s="264"/>
      <c r="H58" s="264"/>
      <c r="I58" s="264"/>
      <c r="J58" s="267"/>
      <c r="K58" s="267"/>
      <c r="L58" s="107">
        <f>IF(AND($H58="1st",$E58="Novice"),'Point Schedule'!$C$4,IF(AND($H58="2nd",$E58="Novice"),'Point Schedule'!$C$5,IF(AND($H58="3rd",$E58="Novice"),'Point Schedule'!$C$6,IF(AND($H58="4th",$E58="Novice"),'Point Schedule'!$C$7,0))))</f>
        <v>0</v>
      </c>
      <c r="M58" s="102">
        <f>IF(AND($H58="1st",$E58="Open"),'Point Schedule'!$E$4,IF(AND($H58="2nd",$E58="Open"),'Point Schedule'!$E$5,IF(AND($H58="3rd",$E58="Open"),'Point Schedule'!$E$6,IF(AND($H58="4th",$E58="Open"),'Point Schedule'!$E$7,0))))</f>
        <v>0</v>
      </c>
      <c r="N58" s="107">
        <f>IF(AND($H58="1st",$E58="Excellent"),'Point Schedule'!$G$4,IF(AND($H58="2nd",$E58="Excellent"),'Point Schedule'!$G$5,IF(AND($H58="3rd",$E58="Excellent"),'Point Schedule'!$G$6,IF(AND($H58="4th",$E58="Excellent"),'Point Schedule'!$G$7,0))))</f>
        <v>0</v>
      </c>
      <c r="O58" s="107">
        <f>IF(AND($H58="1st",$E58="Masters"),'Point Schedule'!$I$4,IF(AND($H58="2nd",$E58="Masters"),'Point Schedule'!$I$5,IF(AND($H58="3rd",$E58="Masters"),'Point Schedule'!$I$6,IF(AND($H58="4th",$E58="Masters"),'Point Schedule'!$I$7,0))))</f>
        <v>0</v>
      </c>
      <c r="P58" s="102">
        <f>IF(AND($H58="1st",$E58="Premier"),'Point Schedule'!$H$4,IF(AND($H58="2nd",$E58="Premier"),'Point Schedule'!$H$5,IF(AND($H58="3rd",$E58="Premier"),'Point Schedule'!$H$6,IF(AND($H58="4th",$E58="Premier"),'Point Schedule'!$H$7,0))))</f>
        <v>0</v>
      </c>
      <c r="Q58" s="102">
        <f>IF(AND(E58="Novice",G58="Yes"),'Point Schedule'!$C$9,IF(AND(E58="Open",G58="Yes"),'Point Schedule'!$E$9,IF(AND(E58="T2B",G58="Yes"),'Point Schedule'!$E$9,IF(AND(E58="Excellent",G58="Yes"),'Point Schedule'!$G$9,IF(AND(E58="Masters",G58="YES"),'Point Schedule'!$I$9,IF(AND(E58="Premier",G58="YES"),'Point Schedule'!$H$9,0))))))</f>
        <v>0</v>
      </c>
      <c r="R58" s="105">
        <f>IF(I58="Yes",'Point Schedule'!$C$12,0)</f>
        <v>0</v>
      </c>
      <c r="S58" s="104">
        <f>IF(J58="Yes",'Point Schedule'!$C$13,0)</f>
        <v>0</v>
      </c>
      <c r="T58" s="104">
        <f>IF(K58="Yes",'Point Schedule'!$C$14,0)</f>
        <v>0</v>
      </c>
      <c r="U58" s="93">
        <f>IF(AND(B58=B106,NOT($B58=0),NOT(F58=F106)),'Point Schedule'!$C$11,0)</f>
        <v>0</v>
      </c>
      <c r="V58" s="761"/>
      <c r="Y58" s="178"/>
      <c r="Z58" s="179"/>
      <c r="AA58" s="175">
        <f t="shared" si="2"/>
        <v>0</v>
      </c>
      <c r="AB58" s="176">
        <f t="shared" si="3"/>
        <v>0</v>
      </c>
      <c r="AC58" s="177">
        <f t="shared" si="4"/>
        <v>0</v>
      </c>
      <c r="AD58" s="176">
        <f t="shared" si="5"/>
        <v>0</v>
      </c>
    </row>
    <row r="59" spans="1:30" ht="20.149999999999999" customHeight="1" x14ac:dyDescent="0.7">
      <c r="A59" s="387"/>
      <c r="B59" s="265"/>
      <c r="C59" s="716"/>
      <c r="D59" s="718"/>
      <c r="E59" s="264"/>
      <c r="F59" s="264"/>
      <c r="G59" s="264"/>
      <c r="H59" s="264"/>
      <c r="I59" s="264"/>
      <c r="J59" s="267"/>
      <c r="K59" s="267"/>
      <c r="L59" s="107">
        <f>IF(AND($H59="1st",$E59="Novice"),'Point Schedule'!$C$4,IF(AND($H59="2nd",$E59="Novice"),'Point Schedule'!$C$5,IF(AND($H59="3rd",$E59="Novice"),'Point Schedule'!$C$6,IF(AND($H59="4th",$E59="Novice"),'Point Schedule'!$C$7,0))))</f>
        <v>0</v>
      </c>
      <c r="M59" s="102">
        <f>IF(AND($H59="1st",$E59="Open"),'Point Schedule'!$E$4,IF(AND($H59="2nd",$E59="Open"),'Point Schedule'!$E$5,IF(AND($H59="3rd",$E59="Open"),'Point Schedule'!$E$6,IF(AND($H59="4th",$E59="Open"),'Point Schedule'!$E$7,0))))</f>
        <v>0</v>
      </c>
      <c r="N59" s="107">
        <f>IF(AND($H59="1st",$E59="Excellent"),'Point Schedule'!$G$4,IF(AND($H59="2nd",$E59="Excellent"),'Point Schedule'!$G$5,IF(AND($H59="3rd",$E59="Excellent"),'Point Schedule'!$G$6,IF(AND($H59="4th",$E59="Excellent"),'Point Schedule'!$G$7,0))))</f>
        <v>0</v>
      </c>
      <c r="O59" s="107">
        <f>IF(AND($H59="1st",$E59="Masters"),'Point Schedule'!$I$4,IF(AND($H59="2nd",$E59="Masters"),'Point Schedule'!$I$5,IF(AND($H59="3rd",$E59="Masters"),'Point Schedule'!$I$6,IF(AND($H59="4th",$E59="Masters"),'Point Schedule'!$I$7,0))))</f>
        <v>0</v>
      </c>
      <c r="P59" s="102">
        <f>IF(AND($H59="1st",$E59="Premier"),'Point Schedule'!$H$4,IF(AND($H59="2nd",$E59="Premier"),'Point Schedule'!$H$5,IF(AND($H59="3rd",$E59="Premier"),'Point Schedule'!$H$6,IF(AND($H59="4th",$E59="Premier"),'Point Schedule'!$H$7,0))))</f>
        <v>0</v>
      </c>
      <c r="Q59" s="102">
        <f>IF(AND(E59="Novice",G59="Yes"),'Point Schedule'!$C$9,IF(AND(E59="Open",G59="Yes"),'Point Schedule'!$E$9,IF(AND(E59="T2B",G59="Yes"),'Point Schedule'!$E$9,IF(AND(E59="Excellent",G59="Yes"),'Point Schedule'!$G$9,IF(AND(E59="Masters",G59="YES"),'Point Schedule'!$I$9,IF(AND(E59="Premier",G59="YES"),'Point Schedule'!$H$9,0))))))</f>
        <v>0</v>
      </c>
      <c r="R59" s="105">
        <f>IF(I59="Yes",'Point Schedule'!$C$12,0)</f>
        <v>0</v>
      </c>
      <c r="S59" s="104">
        <f>IF(J59="Yes",'Point Schedule'!$C$13,0)</f>
        <v>0</v>
      </c>
      <c r="T59" s="104">
        <f>IF(K59="Yes",'Point Schedule'!$C$14,0)</f>
        <v>0</v>
      </c>
      <c r="U59" s="93">
        <f>IF(AND(B59=B107,NOT($B59=0),NOT(F59=F107)),'Point Schedule'!$C$11,0)</f>
        <v>0</v>
      </c>
      <c r="V59" s="761"/>
      <c r="Y59" s="178"/>
      <c r="Z59" s="179"/>
      <c r="AA59" s="175">
        <f t="shared" si="2"/>
        <v>0</v>
      </c>
      <c r="AB59" s="176">
        <f t="shared" si="3"/>
        <v>0</v>
      </c>
      <c r="AC59" s="177">
        <f t="shared" si="4"/>
        <v>0</v>
      </c>
      <c r="AD59" s="176">
        <f t="shared" si="5"/>
        <v>0</v>
      </c>
    </row>
    <row r="60" spans="1:30" ht="20.149999999999999" customHeight="1" x14ac:dyDescent="0.7">
      <c r="A60" s="387"/>
      <c r="B60" s="265"/>
      <c r="C60" s="716"/>
      <c r="D60" s="718"/>
      <c r="E60" s="264"/>
      <c r="F60" s="264"/>
      <c r="G60" s="264"/>
      <c r="H60" s="264"/>
      <c r="I60" s="264"/>
      <c r="J60" s="267"/>
      <c r="K60" s="267"/>
      <c r="L60" s="107">
        <f>IF(AND($H60="1st",$E60="Novice"),'Point Schedule'!$C$4,IF(AND($H60="2nd",$E60="Novice"),'Point Schedule'!$C$5,IF(AND($H60="3rd",$E60="Novice"),'Point Schedule'!$C$6,IF(AND($H60="4th",$E60="Novice"),'Point Schedule'!$C$7,0))))</f>
        <v>0</v>
      </c>
      <c r="M60" s="102">
        <f>IF(AND($H60="1st",$E60="Open"),'Point Schedule'!$E$4,IF(AND($H60="2nd",$E60="Open"),'Point Schedule'!$E$5,IF(AND($H60="3rd",$E60="Open"),'Point Schedule'!$E$6,IF(AND($H60="4th",$E60="Open"),'Point Schedule'!$E$7,0))))</f>
        <v>0</v>
      </c>
      <c r="N60" s="107">
        <f>IF(AND($H60="1st",$E60="Excellent"),'Point Schedule'!$G$4,IF(AND($H60="2nd",$E60="Excellent"),'Point Schedule'!$G$5,IF(AND($H60="3rd",$E60="Excellent"),'Point Schedule'!$G$6,IF(AND($H60="4th",$E60="Excellent"),'Point Schedule'!$G$7,0))))</f>
        <v>0</v>
      </c>
      <c r="O60" s="107">
        <f>IF(AND($H60="1st",$E60="Masters"),'Point Schedule'!$I$4,IF(AND($H60="2nd",$E60="Masters"),'Point Schedule'!$I$5,IF(AND($H60="3rd",$E60="Masters"),'Point Schedule'!$I$6,IF(AND($H60="4th",$E60="Masters"),'Point Schedule'!$I$7,0))))</f>
        <v>0</v>
      </c>
      <c r="P60" s="102">
        <f>IF(AND($H60="1st",$E60="Premier"),'Point Schedule'!$H$4,IF(AND($H60="2nd",$E60="Premier"),'Point Schedule'!$H$5,IF(AND($H60="3rd",$E60="Premier"),'Point Schedule'!$H$6,IF(AND($H60="4th",$E60="Premier"),'Point Schedule'!$H$7,0))))</f>
        <v>0</v>
      </c>
      <c r="Q60" s="102">
        <f>IF(AND(E60="Novice",G60="Yes"),'Point Schedule'!$C$9,IF(AND(E60="Open",G60="Yes"),'Point Schedule'!$E$9,IF(AND(E60="T2B",G60="Yes"),'Point Schedule'!$E$9,IF(AND(E60="Excellent",G60="Yes"),'Point Schedule'!$G$9,IF(AND(E60="Masters",G60="YES"),'Point Schedule'!$I$9,IF(AND(E60="Premier",G60="YES"),'Point Schedule'!$H$9,0))))))</f>
        <v>0</v>
      </c>
      <c r="R60" s="105">
        <f>IF(I60="Yes",'Point Schedule'!$C$12,0)</f>
        <v>0</v>
      </c>
      <c r="S60" s="104">
        <f>IF(J60="Yes",'Point Schedule'!$C$13,0)</f>
        <v>0</v>
      </c>
      <c r="T60" s="104">
        <f>IF(K60="Yes",'Point Schedule'!$C$14,0)</f>
        <v>0</v>
      </c>
      <c r="U60" s="93">
        <f>IF(AND(B60=B108,NOT($B60=0),NOT(F60=F108)),'Point Schedule'!$C$11,0)</f>
        <v>0</v>
      </c>
      <c r="V60" s="761"/>
      <c r="Y60" s="178"/>
      <c r="Z60" s="179"/>
      <c r="AA60" s="175">
        <f t="shared" si="2"/>
        <v>0</v>
      </c>
      <c r="AB60" s="176">
        <f t="shared" si="3"/>
        <v>0</v>
      </c>
      <c r="AC60" s="177">
        <f t="shared" si="4"/>
        <v>0</v>
      </c>
      <c r="AD60" s="176">
        <f t="shared" si="5"/>
        <v>0</v>
      </c>
    </row>
    <row r="61" spans="1:30" ht="20.149999999999999" customHeight="1" x14ac:dyDescent="0.7">
      <c r="A61" s="387"/>
      <c r="B61" s="265"/>
      <c r="C61" s="716"/>
      <c r="D61" s="718"/>
      <c r="E61" s="264"/>
      <c r="F61" s="264"/>
      <c r="G61" s="264"/>
      <c r="H61" s="264"/>
      <c r="I61" s="264"/>
      <c r="J61" s="267"/>
      <c r="K61" s="267"/>
      <c r="L61" s="107">
        <f>IF(AND($H61="1st",$E61="Novice"),'Point Schedule'!$C$4,IF(AND($H61="2nd",$E61="Novice"),'Point Schedule'!$C$5,IF(AND($H61="3rd",$E61="Novice"),'Point Schedule'!$C$6,IF(AND($H61="4th",$E61="Novice"),'Point Schedule'!$C$7,0))))</f>
        <v>0</v>
      </c>
      <c r="M61" s="102">
        <f>IF(AND($H61="1st",$E61="Open"),'Point Schedule'!$E$4,IF(AND($H61="2nd",$E61="Open"),'Point Schedule'!$E$5,IF(AND($H61="3rd",$E61="Open"),'Point Schedule'!$E$6,IF(AND($H61="4th",$E61="Open"),'Point Schedule'!$E$7,0))))</f>
        <v>0</v>
      </c>
      <c r="N61" s="107">
        <f>IF(AND($H61="1st",$E61="Excellent"),'Point Schedule'!$G$4,IF(AND($H61="2nd",$E61="Excellent"),'Point Schedule'!$G$5,IF(AND($H61="3rd",$E61="Excellent"),'Point Schedule'!$G$6,IF(AND($H61="4th",$E61="Excellent"),'Point Schedule'!$G$7,0))))</f>
        <v>0</v>
      </c>
      <c r="O61" s="107">
        <f>IF(AND($H61="1st",$E61="Masters"),'Point Schedule'!$I$4,IF(AND($H61="2nd",$E61="Masters"),'Point Schedule'!$I$5,IF(AND($H61="3rd",$E61="Masters"),'Point Schedule'!$I$6,IF(AND($H61="4th",$E61="Masters"),'Point Schedule'!$I$7,0))))</f>
        <v>0</v>
      </c>
      <c r="P61" s="102">
        <f>IF(AND($H61="1st",$E61="Premier"),'Point Schedule'!$H$4,IF(AND($H61="2nd",$E61="Premier"),'Point Schedule'!$H$5,IF(AND($H61="3rd",$E61="Premier"),'Point Schedule'!$H$6,IF(AND($H61="4th",$E61="Premier"),'Point Schedule'!$H$7,0))))</f>
        <v>0</v>
      </c>
      <c r="Q61" s="102">
        <f>IF(AND(E61="Novice",G61="Yes"),'Point Schedule'!$C$9,IF(AND(E61="Open",G61="Yes"),'Point Schedule'!$E$9,IF(AND(E61="T2B",G61="Yes"),'Point Schedule'!$E$9,IF(AND(E61="Excellent",G61="Yes"),'Point Schedule'!$G$9,IF(AND(E61="Masters",G61="YES"),'Point Schedule'!$I$9,IF(AND(E61="Premier",G61="YES"),'Point Schedule'!$H$9,0))))))</f>
        <v>0</v>
      </c>
      <c r="R61" s="105">
        <f>IF(I61="Yes",'Point Schedule'!$C$12,0)</f>
        <v>0</v>
      </c>
      <c r="S61" s="104">
        <f>IF(J61="Yes",'Point Schedule'!$C$13,0)</f>
        <v>0</v>
      </c>
      <c r="T61" s="104">
        <f>IF(K61="Yes",'Point Schedule'!$C$14,0)</f>
        <v>0</v>
      </c>
      <c r="U61" s="93">
        <f>IF(AND(B61=B109,NOT($B61=0),NOT(F61=F109)),'Point Schedule'!$C$11,0)</f>
        <v>0</v>
      </c>
      <c r="V61" s="761"/>
      <c r="Y61" s="178"/>
      <c r="Z61" s="179"/>
      <c r="AA61" s="175">
        <f t="shared" si="2"/>
        <v>0</v>
      </c>
      <c r="AB61" s="176">
        <f t="shared" si="3"/>
        <v>0</v>
      </c>
      <c r="AC61" s="177">
        <f t="shared" si="4"/>
        <v>0</v>
      </c>
      <c r="AD61" s="176">
        <f t="shared" si="5"/>
        <v>0</v>
      </c>
    </row>
    <row r="62" spans="1:30" ht="20.149999999999999" customHeight="1" x14ac:dyDescent="0.7">
      <c r="A62" s="387"/>
      <c r="B62" s="265"/>
      <c r="C62" s="716"/>
      <c r="D62" s="718"/>
      <c r="E62" s="264"/>
      <c r="F62" s="264"/>
      <c r="G62" s="264"/>
      <c r="H62" s="264"/>
      <c r="I62" s="264"/>
      <c r="J62" s="267"/>
      <c r="K62" s="267"/>
      <c r="L62" s="107">
        <f>IF(AND($H62="1st",$E62="Novice"),'Point Schedule'!$C$4,IF(AND($H62="2nd",$E62="Novice"),'Point Schedule'!$C$5,IF(AND($H62="3rd",$E62="Novice"),'Point Schedule'!$C$6,IF(AND($H62="4th",$E62="Novice"),'Point Schedule'!$C$7,0))))</f>
        <v>0</v>
      </c>
      <c r="M62" s="102">
        <f>IF(AND($H62="1st",$E62="Open"),'Point Schedule'!$E$4,IF(AND($H62="2nd",$E62="Open"),'Point Schedule'!$E$5,IF(AND($H62="3rd",$E62="Open"),'Point Schedule'!$E$6,IF(AND($H62="4th",$E62="Open"),'Point Schedule'!$E$7,0))))</f>
        <v>0</v>
      </c>
      <c r="N62" s="107">
        <f>IF(AND($H62="1st",$E62="Excellent"),'Point Schedule'!$G$4,IF(AND($H62="2nd",$E62="Excellent"),'Point Schedule'!$G$5,IF(AND($H62="3rd",$E62="Excellent"),'Point Schedule'!$G$6,IF(AND($H62="4th",$E62="Excellent"),'Point Schedule'!$G$7,0))))</f>
        <v>0</v>
      </c>
      <c r="O62" s="107">
        <f>IF(AND($H62="1st",$E62="Masters"),'Point Schedule'!$I$4,IF(AND($H62="2nd",$E62="Masters"),'Point Schedule'!$I$5,IF(AND($H62="3rd",$E62="Masters"),'Point Schedule'!$I$6,IF(AND($H62="4th",$E62="Masters"),'Point Schedule'!$I$7,0))))</f>
        <v>0</v>
      </c>
      <c r="P62" s="102">
        <f>IF(AND($H62="1st",$E62="Premier"),'Point Schedule'!$H$4,IF(AND($H62="2nd",$E62="Premier"),'Point Schedule'!$H$5,IF(AND($H62="3rd",$E62="Premier"),'Point Schedule'!$H$6,IF(AND($H62="4th",$E62="Premier"),'Point Schedule'!$H$7,0))))</f>
        <v>0</v>
      </c>
      <c r="Q62" s="102">
        <f>IF(AND(E62="Novice",G62="Yes"),'Point Schedule'!$C$9,IF(AND(E62="Open",G62="Yes"),'Point Schedule'!$E$9,IF(AND(E62="T2B",G62="Yes"),'Point Schedule'!$E$9,IF(AND(E62="Excellent",G62="Yes"),'Point Schedule'!$G$9,IF(AND(E62="Masters",G62="YES"),'Point Schedule'!$I$9,IF(AND(E62="Premier",G62="YES"),'Point Schedule'!$H$9,0))))))</f>
        <v>0</v>
      </c>
      <c r="R62" s="105">
        <f>IF(I62="Yes",'Point Schedule'!$C$12,0)</f>
        <v>0</v>
      </c>
      <c r="S62" s="104">
        <f>IF(J62="Yes",'Point Schedule'!$C$13,0)</f>
        <v>0</v>
      </c>
      <c r="T62" s="104">
        <f>IF(K62="Yes",'Point Schedule'!$C$14,0)</f>
        <v>0</v>
      </c>
      <c r="U62" s="93">
        <f>IF(AND(B62=B110,NOT($B62=0),NOT(F62=F110)),'Point Schedule'!$C$11,0)</f>
        <v>0</v>
      </c>
      <c r="V62" s="761"/>
      <c r="Y62" s="178"/>
      <c r="Z62" s="179"/>
      <c r="AA62" s="175">
        <f t="shared" si="2"/>
        <v>0</v>
      </c>
      <c r="AB62" s="176">
        <f t="shared" si="3"/>
        <v>0</v>
      </c>
      <c r="AC62" s="177">
        <f t="shared" si="4"/>
        <v>0</v>
      </c>
      <c r="AD62" s="176">
        <f t="shared" si="5"/>
        <v>0</v>
      </c>
    </row>
    <row r="63" spans="1:30" ht="20.149999999999999" customHeight="1" x14ac:dyDescent="0.7">
      <c r="A63" s="387"/>
      <c r="B63" s="265"/>
      <c r="C63" s="716"/>
      <c r="D63" s="718"/>
      <c r="E63" s="264"/>
      <c r="F63" s="264"/>
      <c r="G63" s="264"/>
      <c r="H63" s="264"/>
      <c r="I63" s="264"/>
      <c r="J63" s="267"/>
      <c r="K63" s="267"/>
      <c r="L63" s="107">
        <f>IF(AND($H63="1st",$E63="Novice"),'Point Schedule'!$C$4,IF(AND($H63="2nd",$E63="Novice"),'Point Schedule'!$C$5,IF(AND($H63="3rd",$E63="Novice"),'Point Schedule'!$C$6,IF(AND($H63="4th",$E63="Novice"),'Point Schedule'!$C$7,0))))</f>
        <v>0</v>
      </c>
      <c r="M63" s="102">
        <f>IF(AND($H63="1st",$E63="Open"),'Point Schedule'!$E$4,IF(AND($H63="2nd",$E63="Open"),'Point Schedule'!$E$5,IF(AND($H63="3rd",$E63="Open"),'Point Schedule'!$E$6,IF(AND($H63="4th",$E63="Open"),'Point Schedule'!$E$7,0))))</f>
        <v>0</v>
      </c>
      <c r="N63" s="107">
        <f>IF(AND($H63="1st",$E63="Excellent"),'Point Schedule'!$G$4,IF(AND($H63="2nd",$E63="Excellent"),'Point Schedule'!$G$5,IF(AND($H63="3rd",$E63="Excellent"),'Point Schedule'!$G$6,IF(AND($H63="4th",$E63="Excellent"),'Point Schedule'!$G$7,0))))</f>
        <v>0</v>
      </c>
      <c r="O63" s="107">
        <f>IF(AND($H63="1st",$E63="Masters"),'Point Schedule'!$I$4,IF(AND($H63="2nd",$E63="Masters"),'Point Schedule'!$I$5,IF(AND($H63="3rd",$E63="Masters"),'Point Schedule'!$I$6,IF(AND($H63="4th",$E63="Masters"),'Point Schedule'!$I$7,0))))</f>
        <v>0</v>
      </c>
      <c r="P63" s="102">
        <f>IF(AND($H63="1st",$E63="Premier"),'Point Schedule'!$H$4,IF(AND($H63="2nd",$E63="Premier"),'Point Schedule'!$H$5,IF(AND($H63="3rd",$E63="Premier"),'Point Schedule'!$H$6,IF(AND($H63="4th",$E63="Premier"),'Point Schedule'!$H$7,0))))</f>
        <v>0</v>
      </c>
      <c r="Q63" s="102">
        <f>IF(AND(E63="Novice",G63="Yes"),'Point Schedule'!$C$9,IF(AND(E63="Open",G63="Yes"),'Point Schedule'!$E$9,IF(AND(E63="T2B",G63="Yes"),'Point Schedule'!$E$9,IF(AND(E63="Excellent",G63="Yes"),'Point Schedule'!$G$9,IF(AND(E63="Masters",G63="YES"),'Point Schedule'!$I$9,IF(AND(E63="Premier",G63="YES"),'Point Schedule'!$H$9,0))))))</f>
        <v>0</v>
      </c>
      <c r="R63" s="105">
        <f>IF(I63="Yes",'Point Schedule'!$C$12,0)</f>
        <v>0</v>
      </c>
      <c r="S63" s="104">
        <f>IF(J63="Yes",'Point Schedule'!$C$13,0)</f>
        <v>0</v>
      </c>
      <c r="T63" s="104">
        <f>IF(K63="Yes",'Point Schedule'!$C$14,0)</f>
        <v>0</v>
      </c>
      <c r="U63" s="93">
        <f>IF(AND(B63=B111,NOT($B63=0),NOT(F63=F111)),'Point Schedule'!$C$11,0)</f>
        <v>0</v>
      </c>
      <c r="V63" s="761"/>
      <c r="Y63" s="178"/>
      <c r="Z63" s="179"/>
      <c r="AA63" s="175">
        <f t="shared" si="2"/>
        <v>0</v>
      </c>
      <c r="AB63" s="176">
        <f t="shared" si="3"/>
        <v>0</v>
      </c>
      <c r="AC63" s="177">
        <f t="shared" si="4"/>
        <v>0</v>
      </c>
      <c r="AD63" s="176">
        <f t="shared" si="5"/>
        <v>0</v>
      </c>
    </row>
    <row r="64" spans="1:30" ht="20.149999999999999" customHeight="1" x14ac:dyDescent="0.7">
      <c r="A64" s="387"/>
      <c r="B64" s="265"/>
      <c r="C64" s="716"/>
      <c r="D64" s="718"/>
      <c r="E64" s="264"/>
      <c r="F64" s="264"/>
      <c r="G64" s="264"/>
      <c r="H64" s="264"/>
      <c r="I64" s="264"/>
      <c r="J64" s="267"/>
      <c r="K64" s="267"/>
      <c r="L64" s="107">
        <f>IF(AND($H64="1st",$E64="Novice"),'Point Schedule'!$C$4,IF(AND($H64="2nd",$E64="Novice"),'Point Schedule'!$C$5,IF(AND($H64="3rd",$E64="Novice"),'Point Schedule'!$C$6,IF(AND($H64="4th",$E64="Novice"),'Point Schedule'!$C$7,0))))</f>
        <v>0</v>
      </c>
      <c r="M64" s="102">
        <f>IF(AND($H64="1st",$E64="Open"),'Point Schedule'!$E$4,IF(AND($H64="2nd",$E64="Open"),'Point Schedule'!$E$5,IF(AND($H64="3rd",$E64="Open"),'Point Schedule'!$E$6,IF(AND($H64="4th",$E64="Open"),'Point Schedule'!$E$7,0))))</f>
        <v>0</v>
      </c>
      <c r="N64" s="107">
        <f>IF(AND($H64="1st",$E64="Excellent"),'Point Schedule'!$G$4,IF(AND($H64="2nd",$E64="Excellent"),'Point Schedule'!$G$5,IF(AND($H64="3rd",$E64="Excellent"),'Point Schedule'!$G$6,IF(AND($H64="4th",$E64="Excellent"),'Point Schedule'!$G$7,0))))</f>
        <v>0</v>
      </c>
      <c r="O64" s="107">
        <f>IF(AND($H64="1st",$E64="Masters"),'Point Schedule'!$I$4,IF(AND($H64="2nd",$E64="Masters"),'Point Schedule'!$I$5,IF(AND($H64="3rd",$E64="Masters"),'Point Schedule'!$I$6,IF(AND($H64="4th",$E64="Masters"),'Point Schedule'!$I$7,0))))</f>
        <v>0</v>
      </c>
      <c r="P64" s="102">
        <f>IF(AND($H64="1st",$E64="Premier"),'Point Schedule'!$H$4,IF(AND($H64="2nd",$E64="Premier"),'Point Schedule'!$H$5,IF(AND($H64="3rd",$E64="Premier"),'Point Schedule'!$H$6,IF(AND($H64="4th",$E64="Premier"),'Point Schedule'!$H$7,0))))</f>
        <v>0</v>
      </c>
      <c r="Q64" s="102">
        <f>IF(AND(E64="Novice",G64="Yes"),'Point Schedule'!$C$9,IF(AND(E64="Open",G64="Yes"),'Point Schedule'!$E$9,IF(AND(E64="T2B",G64="Yes"),'Point Schedule'!$E$9,IF(AND(E64="Excellent",G64="Yes"),'Point Schedule'!$G$9,IF(AND(E64="Masters",G64="YES"),'Point Schedule'!$I$9,IF(AND(E64="Premier",G64="YES"),'Point Schedule'!$H$9,0))))))</f>
        <v>0</v>
      </c>
      <c r="R64" s="105">
        <f>IF(I64="Yes",'Point Schedule'!$C$12,0)</f>
        <v>0</v>
      </c>
      <c r="S64" s="104">
        <f>IF(J64="Yes",'Point Schedule'!$C$13,0)</f>
        <v>0</v>
      </c>
      <c r="T64" s="104">
        <f>IF(K64="Yes",'Point Schedule'!$C$14,0)</f>
        <v>0</v>
      </c>
      <c r="U64" s="93">
        <f>IF(AND(B64=B112,NOT($B64=0),NOT(F64=F112)),'Point Schedule'!$C$11,0)</f>
        <v>0</v>
      </c>
      <c r="V64" s="761"/>
      <c r="Y64" s="178"/>
      <c r="Z64" s="179"/>
      <c r="AA64" s="175">
        <f t="shared" si="2"/>
        <v>0</v>
      </c>
      <c r="AB64" s="176">
        <f t="shared" si="3"/>
        <v>0</v>
      </c>
      <c r="AC64" s="177">
        <f t="shared" si="4"/>
        <v>0</v>
      </c>
      <c r="AD64" s="176">
        <f t="shared" si="5"/>
        <v>0</v>
      </c>
    </row>
    <row r="65" spans="1:30" ht="20.149999999999999" customHeight="1" x14ac:dyDescent="0.7">
      <c r="A65" s="387"/>
      <c r="B65" s="265"/>
      <c r="C65" s="716"/>
      <c r="D65" s="718"/>
      <c r="E65" s="264"/>
      <c r="F65" s="264"/>
      <c r="G65" s="264"/>
      <c r="H65" s="264"/>
      <c r="I65" s="264"/>
      <c r="J65" s="267"/>
      <c r="K65" s="267"/>
      <c r="L65" s="107">
        <f>IF(AND($H65="1st",$E65="Novice"),'Point Schedule'!$C$4,IF(AND($H65="2nd",$E65="Novice"),'Point Schedule'!$C$5,IF(AND($H65="3rd",$E65="Novice"),'Point Schedule'!$C$6,IF(AND($H65="4th",$E65="Novice"),'Point Schedule'!$C$7,0))))</f>
        <v>0</v>
      </c>
      <c r="M65" s="102">
        <f>IF(AND($H65="1st",$E65="Open"),'Point Schedule'!$E$4,IF(AND($H65="2nd",$E65="Open"),'Point Schedule'!$E$5,IF(AND($H65="3rd",$E65="Open"),'Point Schedule'!$E$6,IF(AND($H65="4th",$E65="Open"),'Point Schedule'!$E$7,0))))</f>
        <v>0</v>
      </c>
      <c r="N65" s="107">
        <f>IF(AND($H65="1st",$E65="Excellent"),'Point Schedule'!$G$4,IF(AND($H65="2nd",$E65="Excellent"),'Point Schedule'!$G$5,IF(AND($H65="3rd",$E65="Excellent"),'Point Schedule'!$G$6,IF(AND($H65="4th",$E65="Excellent"),'Point Schedule'!$G$7,0))))</f>
        <v>0</v>
      </c>
      <c r="O65" s="107">
        <f>IF(AND($H65="1st",$E65="Masters"),'Point Schedule'!$I$4,IF(AND($H65="2nd",$E65="Masters"),'Point Schedule'!$I$5,IF(AND($H65="3rd",$E65="Masters"),'Point Schedule'!$I$6,IF(AND($H65="4th",$E65="Masters"),'Point Schedule'!$I$7,0))))</f>
        <v>0</v>
      </c>
      <c r="P65" s="102">
        <f>IF(AND($H65="1st",$E65="Premier"),'Point Schedule'!$H$4,IF(AND($H65="2nd",$E65="Premier"),'Point Schedule'!$H$5,IF(AND($H65="3rd",$E65="Premier"),'Point Schedule'!$H$6,IF(AND($H65="4th",$E65="Premier"),'Point Schedule'!$H$7,0))))</f>
        <v>0</v>
      </c>
      <c r="Q65" s="102">
        <f>IF(AND(E65="Novice",G65="Yes"),'Point Schedule'!$C$9,IF(AND(E65="Open",G65="Yes"),'Point Schedule'!$E$9,IF(AND(E65="T2B",G65="Yes"),'Point Schedule'!$E$9,IF(AND(E65="Excellent",G65="Yes"),'Point Schedule'!$G$9,IF(AND(E65="Masters",G65="YES"),'Point Schedule'!$I$9,IF(AND(E65="Premier",G65="YES"),'Point Schedule'!$H$9,0))))))</f>
        <v>0</v>
      </c>
      <c r="R65" s="105">
        <f>IF(I65="Yes",'Point Schedule'!$C$12,0)</f>
        <v>0</v>
      </c>
      <c r="S65" s="104">
        <f>IF(J65="Yes",'Point Schedule'!$C$13,0)</f>
        <v>0</v>
      </c>
      <c r="T65" s="104">
        <f>IF(K65="Yes",'Point Schedule'!$C$14,0)</f>
        <v>0</v>
      </c>
      <c r="U65" s="93">
        <f>IF(AND(B65=B113,NOT($B65=0),NOT(F65=F113)),'Point Schedule'!$C$11,0)</f>
        <v>0</v>
      </c>
      <c r="V65" s="761"/>
      <c r="Y65" s="178"/>
      <c r="Z65" s="179"/>
      <c r="AA65" s="175">
        <f t="shared" si="2"/>
        <v>0</v>
      </c>
      <c r="AB65" s="176">
        <f t="shared" si="3"/>
        <v>0</v>
      </c>
      <c r="AC65" s="177">
        <f t="shared" si="4"/>
        <v>0</v>
      </c>
      <c r="AD65" s="176">
        <f t="shared" si="5"/>
        <v>0</v>
      </c>
    </row>
    <row r="66" spans="1:30" ht="20.149999999999999" customHeight="1" x14ac:dyDescent="0.7">
      <c r="A66" s="387"/>
      <c r="B66" s="265"/>
      <c r="C66" s="716"/>
      <c r="D66" s="718"/>
      <c r="E66" s="264"/>
      <c r="F66" s="264"/>
      <c r="G66" s="264"/>
      <c r="H66" s="264"/>
      <c r="I66" s="264"/>
      <c r="J66" s="267"/>
      <c r="K66" s="267"/>
      <c r="L66" s="107">
        <f>IF(AND($H66="1st",$E66="Novice"),'Point Schedule'!$C$4,IF(AND($H66="2nd",$E66="Novice"),'Point Schedule'!$C$5,IF(AND($H66="3rd",$E66="Novice"),'Point Schedule'!$C$6,IF(AND($H66="4th",$E66="Novice"),'Point Schedule'!$C$7,0))))</f>
        <v>0</v>
      </c>
      <c r="M66" s="102">
        <f>IF(AND($H66="1st",$E66="Open"),'Point Schedule'!$E$4,IF(AND($H66="2nd",$E66="Open"),'Point Schedule'!$E$5,IF(AND($H66="3rd",$E66="Open"),'Point Schedule'!$E$6,IF(AND($H66="4th",$E66="Open"),'Point Schedule'!$E$7,0))))</f>
        <v>0</v>
      </c>
      <c r="N66" s="107">
        <f>IF(AND($H66="1st",$E66="Excellent"),'Point Schedule'!$G$4,IF(AND($H66="2nd",$E66="Excellent"),'Point Schedule'!$G$5,IF(AND($H66="3rd",$E66="Excellent"),'Point Schedule'!$G$6,IF(AND($H66="4th",$E66="Excellent"),'Point Schedule'!$G$7,0))))</f>
        <v>0</v>
      </c>
      <c r="O66" s="107">
        <f>IF(AND($H66="1st",$E66="Masters"),'Point Schedule'!$I$4,IF(AND($H66="2nd",$E66="Masters"),'Point Schedule'!$I$5,IF(AND($H66="3rd",$E66="Masters"),'Point Schedule'!$I$6,IF(AND($H66="4th",$E66="Masters"),'Point Schedule'!$I$7,0))))</f>
        <v>0</v>
      </c>
      <c r="P66" s="102">
        <f>IF(AND($H66="1st",$E66="Premier"),'Point Schedule'!$H$4,IF(AND($H66="2nd",$E66="Premier"),'Point Schedule'!$H$5,IF(AND($H66="3rd",$E66="Premier"),'Point Schedule'!$H$6,IF(AND($H66="4th",$E66="Premier"),'Point Schedule'!$H$7,0))))</f>
        <v>0</v>
      </c>
      <c r="Q66" s="102">
        <f>IF(AND(E66="Novice",G66="Yes"),'Point Schedule'!$C$9,IF(AND(E66="Open",G66="Yes"),'Point Schedule'!$E$9,IF(AND(E66="T2B",G66="Yes"),'Point Schedule'!$E$9,IF(AND(E66="Excellent",G66="Yes"),'Point Schedule'!$G$9,IF(AND(E66="Masters",G66="YES"),'Point Schedule'!$I$9,IF(AND(E66="Premier",G66="YES"),'Point Schedule'!$H$9,0))))))</f>
        <v>0</v>
      </c>
      <c r="R66" s="105">
        <f>IF(I66="Yes",'Point Schedule'!$C$12,0)</f>
        <v>0</v>
      </c>
      <c r="S66" s="104">
        <f>IF(J66="Yes",'Point Schedule'!$C$13,0)</f>
        <v>0</v>
      </c>
      <c r="T66" s="104">
        <f>IF(K66="Yes",'Point Schedule'!$C$14,0)</f>
        <v>0</v>
      </c>
      <c r="U66" s="93">
        <f>IF(AND(B66=B114,NOT($B66=0),NOT(F66=F114)),'Point Schedule'!$C$11,0)</f>
        <v>0</v>
      </c>
      <c r="V66" s="761"/>
      <c r="Y66" s="178"/>
      <c r="Z66" s="179"/>
      <c r="AA66" s="175">
        <f t="shared" si="2"/>
        <v>0</v>
      </c>
      <c r="AB66" s="176">
        <f t="shared" si="3"/>
        <v>0</v>
      </c>
      <c r="AC66" s="177">
        <f t="shared" si="4"/>
        <v>0</v>
      </c>
      <c r="AD66" s="176">
        <f t="shared" si="5"/>
        <v>0</v>
      </c>
    </row>
    <row r="67" spans="1:30" ht="20.149999999999999" customHeight="1" x14ac:dyDescent="0.7">
      <c r="A67" s="387"/>
      <c r="B67" s="265"/>
      <c r="C67" s="716"/>
      <c r="D67" s="718"/>
      <c r="E67" s="264"/>
      <c r="F67" s="264"/>
      <c r="G67" s="264"/>
      <c r="H67" s="264"/>
      <c r="I67" s="264"/>
      <c r="J67" s="267"/>
      <c r="K67" s="267"/>
      <c r="L67" s="107">
        <f>IF(AND($H67="1st",$E67="Novice"),'Point Schedule'!$C$4,IF(AND($H67="2nd",$E67="Novice"),'Point Schedule'!$C$5,IF(AND($H67="3rd",$E67="Novice"),'Point Schedule'!$C$6,IF(AND($H67="4th",$E67="Novice"),'Point Schedule'!$C$7,0))))</f>
        <v>0</v>
      </c>
      <c r="M67" s="102">
        <f>IF(AND($H67="1st",$E67="Open"),'Point Schedule'!$E$4,IF(AND($H67="2nd",$E67="Open"),'Point Schedule'!$E$5,IF(AND($H67="3rd",$E67="Open"),'Point Schedule'!$E$6,IF(AND($H67="4th",$E67="Open"),'Point Schedule'!$E$7,0))))</f>
        <v>0</v>
      </c>
      <c r="N67" s="107">
        <f>IF(AND($H67="1st",$E67="Excellent"),'Point Schedule'!$G$4,IF(AND($H67="2nd",$E67="Excellent"),'Point Schedule'!$G$5,IF(AND($H67="3rd",$E67="Excellent"),'Point Schedule'!$G$6,IF(AND($H67="4th",$E67="Excellent"),'Point Schedule'!$G$7,0))))</f>
        <v>0</v>
      </c>
      <c r="O67" s="107">
        <f>IF(AND($H67="1st",$E67="Masters"),'Point Schedule'!$I$4,IF(AND($H67="2nd",$E67="Masters"),'Point Schedule'!$I$5,IF(AND($H67="3rd",$E67="Masters"),'Point Schedule'!$I$6,IF(AND($H67="4th",$E67="Masters"),'Point Schedule'!$I$7,0))))</f>
        <v>0</v>
      </c>
      <c r="P67" s="102">
        <f>IF(AND($H67="1st",$E67="Premier"),'Point Schedule'!$H$4,IF(AND($H67="2nd",$E67="Premier"),'Point Schedule'!$H$5,IF(AND($H67="3rd",$E67="Premier"),'Point Schedule'!$H$6,IF(AND($H67="4th",$E67="Premier"),'Point Schedule'!$H$7,0))))</f>
        <v>0</v>
      </c>
      <c r="Q67" s="102">
        <f>IF(AND(E67="Novice",G67="Yes"),'Point Schedule'!$C$9,IF(AND(E67="Open",G67="Yes"),'Point Schedule'!$E$9,IF(AND(E67="T2B",G67="Yes"),'Point Schedule'!$E$9,IF(AND(E67="Excellent",G67="Yes"),'Point Schedule'!$G$9,IF(AND(E67="Masters",G67="YES"),'Point Schedule'!$I$9,IF(AND(E67="Premier",G67="YES"),'Point Schedule'!$H$9,0))))))</f>
        <v>0</v>
      </c>
      <c r="R67" s="105">
        <f>IF(I67="Yes",'Point Schedule'!$C$12,0)</f>
        <v>0</v>
      </c>
      <c r="S67" s="104">
        <f>IF(J67="Yes",'Point Schedule'!$C$13,0)</f>
        <v>0</v>
      </c>
      <c r="T67" s="104">
        <f>IF(K67="Yes",'Point Schedule'!$C$14,0)</f>
        <v>0</v>
      </c>
      <c r="U67" s="93">
        <f>IF(AND(B67=B115,NOT($B67=0),NOT(F67=F115)),'Point Schedule'!$C$11,0)</f>
        <v>0</v>
      </c>
      <c r="V67" s="761"/>
      <c r="Y67" s="178"/>
      <c r="Z67" s="179"/>
      <c r="AA67" s="175">
        <f t="shared" si="2"/>
        <v>0</v>
      </c>
      <c r="AB67" s="176">
        <f t="shared" si="3"/>
        <v>0</v>
      </c>
      <c r="AC67" s="177">
        <f t="shared" si="4"/>
        <v>0</v>
      </c>
      <c r="AD67" s="176">
        <f t="shared" si="5"/>
        <v>0</v>
      </c>
    </row>
    <row r="68" spans="1:30" ht="20.149999999999999" customHeight="1" x14ac:dyDescent="0.7">
      <c r="A68" s="387"/>
      <c r="B68" s="265"/>
      <c r="C68" s="716"/>
      <c r="D68" s="718"/>
      <c r="E68" s="264"/>
      <c r="F68" s="264"/>
      <c r="G68" s="264"/>
      <c r="H68" s="264"/>
      <c r="I68" s="264"/>
      <c r="J68" s="267"/>
      <c r="K68" s="267"/>
      <c r="L68" s="107">
        <f>IF(AND($H68="1st",$E68="Novice"),'Point Schedule'!$C$4,IF(AND($H68="2nd",$E68="Novice"),'Point Schedule'!$C$5,IF(AND($H68="3rd",$E68="Novice"),'Point Schedule'!$C$6,IF(AND($H68="4th",$E68="Novice"),'Point Schedule'!$C$7,0))))</f>
        <v>0</v>
      </c>
      <c r="M68" s="102">
        <f>IF(AND($H68="1st",$E68="Open"),'Point Schedule'!$E$4,IF(AND($H68="2nd",$E68="Open"),'Point Schedule'!$E$5,IF(AND($H68="3rd",$E68="Open"),'Point Schedule'!$E$6,IF(AND($H68="4th",$E68="Open"),'Point Schedule'!$E$7,0))))</f>
        <v>0</v>
      </c>
      <c r="N68" s="107">
        <f>IF(AND($H68="1st",$E68="Excellent"),'Point Schedule'!$G$4,IF(AND($H68="2nd",$E68="Excellent"),'Point Schedule'!$G$5,IF(AND($H68="3rd",$E68="Excellent"),'Point Schedule'!$G$6,IF(AND($H68="4th",$E68="Excellent"),'Point Schedule'!$G$7,0))))</f>
        <v>0</v>
      </c>
      <c r="O68" s="107">
        <f>IF(AND($H68="1st",$E68="Masters"),'Point Schedule'!$I$4,IF(AND($H68="2nd",$E68="Masters"),'Point Schedule'!$I$5,IF(AND($H68="3rd",$E68="Masters"),'Point Schedule'!$I$6,IF(AND($H68="4th",$E68="Masters"),'Point Schedule'!$I$7,0))))</f>
        <v>0</v>
      </c>
      <c r="P68" s="102">
        <f>IF(AND($H68="1st",$E68="Premier"),'Point Schedule'!$H$4,IF(AND($H68="2nd",$E68="Premier"),'Point Schedule'!$H$5,IF(AND($H68="3rd",$E68="Premier"),'Point Schedule'!$H$6,IF(AND($H68="4th",$E68="Premier"),'Point Schedule'!$H$7,0))))</f>
        <v>0</v>
      </c>
      <c r="Q68" s="102">
        <f>IF(AND(E68="Novice",G68="Yes"),'Point Schedule'!$C$9,IF(AND(E68="Open",G68="Yes"),'Point Schedule'!$E$9,IF(AND(E68="T2B",G68="Yes"),'Point Schedule'!$E$9,IF(AND(E68="Excellent",G68="Yes"),'Point Schedule'!$G$9,IF(AND(E68="Masters",G68="YES"),'Point Schedule'!$I$9,IF(AND(E68="Premier",G68="YES"),'Point Schedule'!$H$9,0))))))</f>
        <v>0</v>
      </c>
      <c r="R68" s="105">
        <f>IF(I68="Yes",'Point Schedule'!$C$12,0)</f>
        <v>0</v>
      </c>
      <c r="S68" s="104">
        <f>IF(J68="Yes",'Point Schedule'!$C$13,0)</f>
        <v>0</v>
      </c>
      <c r="T68" s="104">
        <f>IF(K68="Yes",'Point Schedule'!$C$14,0)</f>
        <v>0</v>
      </c>
      <c r="U68" s="93">
        <f>IF(AND(B68=B116,NOT($B68=0),NOT(F68=F116)),'Point Schedule'!$C$11,0)</f>
        <v>0</v>
      </c>
      <c r="V68" s="761"/>
      <c r="Y68" s="178"/>
      <c r="Z68" s="179"/>
      <c r="AA68" s="175">
        <f t="shared" si="2"/>
        <v>0</v>
      </c>
      <c r="AB68" s="176">
        <f t="shared" si="3"/>
        <v>0</v>
      </c>
      <c r="AC68" s="177">
        <f t="shared" si="4"/>
        <v>0</v>
      </c>
      <c r="AD68" s="176">
        <f t="shared" si="5"/>
        <v>0</v>
      </c>
    </row>
    <row r="69" spans="1:30" ht="20.149999999999999" customHeight="1" x14ac:dyDescent="0.7">
      <c r="A69" s="387"/>
      <c r="B69" s="265"/>
      <c r="C69" s="716"/>
      <c r="D69" s="718"/>
      <c r="E69" s="264"/>
      <c r="F69" s="264"/>
      <c r="G69" s="264"/>
      <c r="H69" s="264"/>
      <c r="I69" s="264"/>
      <c r="J69" s="267"/>
      <c r="K69" s="267"/>
      <c r="L69" s="107">
        <f>IF(AND($H69="1st",$E69="Novice"),'Point Schedule'!$C$4,IF(AND($H69="2nd",$E69="Novice"),'Point Schedule'!$C$5,IF(AND($H69="3rd",$E69="Novice"),'Point Schedule'!$C$6,IF(AND($H69="4th",$E69="Novice"),'Point Schedule'!$C$7,0))))</f>
        <v>0</v>
      </c>
      <c r="M69" s="102">
        <f>IF(AND($H69="1st",$E69="Open"),'Point Schedule'!$E$4,IF(AND($H69="2nd",$E69="Open"),'Point Schedule'!$E$5,IF(AND($H69="3rd",$E69="Open"),'Point Schedule'!$E$6,IF(AND($H69="4th",$E69="Open"),'Point Schedule'!$E$7,0))))</f>
        <v>0</v>
      </c>
      <c r="N69" s="107">
        <f>IF(AND($H69="1st",$E69="Excellent"),'Point Schedule'!$G$4,IF(AND($H69="2nd",$E69="Excellent"),'Point Schedule'!$G$5,IF(AND($H69="3rd",$E69="Excellent"),'Point Schedule'!$G$6,IF(AND($H69="4th",$E69="Excellent"),'Point Schedule'!$G$7,0))))</f>
        <v>0</v>
      </c>
      <c r="O69" s="107">
        <f>IF(AND($H69="1st",$E69="Masters"),'Point Schedule'!$I$4,IF(AND($H69="2nd",$E69="Masters"),'Point Schedule'!$I$5,IF(AND($H69="3rd",$E69="Masters"),'Point Schedule'!$I$6,IF(AND($H69="4th",$E69="Masters"),'Point Schedule'!$I$7,0))))</f>
        <v>0</v>
      </c>
      <c r="P69" s="102">
        <f>IF(AND($H69="1st",$E69="Premier"),'Point Schedule'!$H$4,IF(AND($H69="2nd",$E69="Premier"),'Point Schedule'!$H$5,IF(AND($H69="3rd",$E69="Premier"),'Point Schedule'!$H$6,IF(AND($H69="4th",$E69="Premier"),'Point Schedule'!$H$7,0))))</f>
        <v>0</v>
      </c>
      <c r="Q69" s="102">
        <f>IF(AND(E69="Novice",G69="Yes"),'Point Schedule'!$C$9,IF(AND(E69="Open",G69="Yes"),'Point Schedule'!$E$9,IF(AND(E69="T2B",G69="Yes"),'Point Schedule'!$E$9,IF(AND(E69="Excellent",G69="Yes"),'Point Schedule'!$G$9,IF(AND(E69="Masters",G69="YES"),'Point Schedule'!$I$9,IF(AND(E69="Premier",G69="YES"),'Point Schedule'!$H$9,0))))))</f>
        <v>0</v>
      </c>
      <c r="R69" s="105">
        <f>IF(I69="Yes",'Point Schedule'!$C$12,0)</f>
        <v>0</v>
      </c>
      <c r="S69" s="104">
        <f>IF(J69="Yes",'Point Schedule'!$C$13,0)</f>
        <v>0</v>
      </c>
      <c r="T69" s="104">
        <f>IF(K69="Yes",'Point Schedule'!$C$14,0)</f>
        <v>0</v>
      </c>
      <c r="U69" s="93">
        <f>IF(AND(B69=B117,NOT($B69=0),NOT(F69=F117)),'Point Schedule'!$C$11,0)</f>
        <v>0</v>
      </c>
      <c r="V69" s="761"/>
      <c r="Y69" s="178"/>
      <c r="Z69" s="179"/>
      <c r="AA69" s="175">
        <f t="shared" si="2"/>
        <v>0</v>
      </c>
      <c r="AB69" s="176">
        <f t="shared" si="3"/>
        <v>0</v>
      </c>
      <c r="AC69" s="177">
        <f t="shared" si="4"/>
        <v>0</v>
      </c>
      <c r="AD69" s="176">
        <f t="shared" si="5"/>
        <v>0</v>
      </c>
    </row>
    <row r="70" spans="1:30" ht="20.149999999999999" customHeight="1" x14ac:dyDescent="0.7">
      <c r="A70" s="387"/>
      <c r="B70" s="265"/>
      <c r="C70" s="716"/>
      <c r="D70" s="718"/>
      <c r="E70" s="264"/>
      <c r="F70" s="264"/>
      <c r="G70" s="264"/>
      <c r="H70" s="264"/>
      <c r="I70" s="264"/>
      <c r="J70" s="267"/>
      <c r="K70" s="267"/>
      <c r="L70" s="107">
        <f>IF(AND($H70="1st",$E70="Novice"),'Point Schedule'!$C$4,IF(AND($H70="2nd",$E70="Novice"),'Point Schedule'!$C$5,IF(AND($H70="3rd",$E70="Novice"),'Point Schedule'!$C$6,IF(AND($H70="4th",$E70="Novice"),'Point Schedule'!$C$7,0))))</f>
        <v>0</v>
      </c>
      <c r="M70" s="102">
        <f>IF(AND($H70="1st",$E70="Open"),'Point Schedule'!$E$4,IF(AND($H70="2nd",$E70="Open"),'Point Schedule'!$E$5,IF(AND($H70="3rd",$E70="Open"),'Point Schedule'!$E$6,IF(AND($H70="4th",$E70="Open"),'Point Schedule'!$E$7,0))))</f>
        <v>0</v>
      </c>
      <c r="N70" s="107">
        <f>IF(AND($H70="1st",$E70="Excellent"),'Point Schedule'!$G$4,IF(AND($H70="2nd",$E70="Excellent"),'Point Schedule'!$G$5,IF(AND($H70="3rd",$E70="Excellent"),'Point Schedule'!$G$6,IF(AND($H70="4th",$E70="Excellent"),'Point Schedule'!$G$7,0))))</f>
        <v>0</v>
      </c>
      <c r="O70" s="107">
        <f>IF(AND($H70="1st",$E70="Masters"),'Point Schedule'!$I$4,IF(AND($H70="2nd",$E70="Masters"),'Point Schedule'!$I$5,IF(AND($H70="3rd",$E70="Masters"),'Point Schedule'!$I$6,IF(AND($H70="4th",$E70="Masters"),'Point Schedule'!$I$7,0))))</f>
        <v>0</v>
      </c>
      <c r="P70" s="102">
        <f>IF(AND($H70="1st",$E70="Premier"),'Point Schedule'!$H$4,IF(AND($H70="2nd",$E70="Premier"),'Point Schedule'!$H$5,IF(AND($H70="3rd",$E70="Premier"),'Point Schedule'!$H$6,IF(AND($H70="4th",$E70="Premier"),'Point Schedule'!$H$7,0))))</f>
        <v>0</v>
      </c>
      <c r="Q70" s="102">
        <f>IF(AND(E70="Novice",G70="Yes"),'Point Schedule'!$C$9,IF(AND(E70="Open",G70="Yes"),'Point Schedule'!$E$9,IF(AND(E70="T2B",G70="Yes"),'Point Schedule'!$E$9,IF(AND(E70="Excellent",G70="Yes"),'Point Schedule'!$G$9,IF(AND(E70="Masters",G70="YES"),'Point Schedule'!$I$9,IF(AND(E70="Premier",G70="YES"),'Point Schedule'!$H$9,0))))))</f>
        <v>0</v>
      </c>
      <c r="R70" s="105">
        <f>IF(I70="Yes",'Point Schedule'!$C$12,0)</f>
        <v>0</v>
      </c>
      <c r="S70" s="104">
        <f>IF(J70="Yes",'Point Schedule'!$C$13,0)</f>
        <v>0</v>
      </c>
      <c r="T70" s="104">
        <f>IF(K70="Yes",'Point Schedule'!$C$14,0)</f>
        <v>0</v>
      </c>
      <c r="U70" s="93">
        <f>IF(AND(B70=B118,NOT($B70=0),NOT(F70=F118)),'Point Schedule'!$C$11,0)</f>
        <v>0</v>
      </c>
      <c r="V70" s="761"/>
      <c r="Y70" s="178"/>
      <c r="Z70" s="179"/>
      <c r="AA70" s="175">
        <f t="shared" si="2"/>
        <v>0</v>
      </c>
      <c r="AB70" s="176">
        <f t="shared" si="3"/>
        <v>0</v>
      </c>
      <c r="AC70" s="177">
        <f t="shared" si="4"/>
        <v>0</v>
      </c>
      <c r="AD70" s="176">
        <f t="shared" si="5"/>
        <v>0</v>
      </c>
    </row>
    <row r="71" spans="1:30" ht="20.149999999999999" customHeight="1" x14ac:dyDescent="0.7">
      <c r="A71" s="387"/>
      <c r="B71" s="265"/>
      <c r="C71" s="716"/>
      <c r="D71" s="718"/>
      <c r="E71" s="264"/>
      <c r="F71" s="264"/>
      <c r="G71" s="264"/>
      <c r="H71" s="264"/>
      <c r="I71" s="264"/>
      <c r="J71" s="267"/>
      <c r="K71" s="267"/>
      <c r="L71" s="107">
        <f>IF(AND($H71="1st",$E71="Novice"),'Point Schedule'!$C$4,IF(AND($H71="2nd",$E71="Novice"),'Point Schedule'!$C$5,IF(AND($H71="3rd",$E71="Novice"),'Point Schedule'!$C$6,IF(AND($H71="4th",$E71="Novice"),'Point Schedule'!$C$7,0))))</f>
        <v>0</v>
      </c>
      <c r="M71" s="102">
        <f>IF(AND($H71="1st",$E71="Open"),'Point Schedule'!$E$4,IF(AND($H71="2nd",$E71="Open"),'Point Schedule'!$E$5,IF(AND($H71="3rd",$E71="Open"),'Point Schedule'!$E$6,IF(AND($H71="4th",$E71="Open"),'Point Schedule'!$E$7,0))))</f>
        <v>0</v>
      </c>
      <c r="N71" s="107">
        <f>IF(AND($H71="1st",$E71="Excellent"),'Point Schedule'!$G$4,IF(AND($H71="2nd",$E71="Excellent"),'Point Schedule'!$G$5,IF(AND($H71="3rd",$E71="Excellent"),'Point Schedule'!$G$6,IF(AND($H71="4th",$E71="Excellent"),'Point Schedule'!$G$7,0))))</f>
        <v>0</v>
      </c>
      <c r="O71" s="107">
        <f>IF(AND($H71="1st",$E71="Masters"),'Point Schedule'!$I$4,IF(AND($H71="2nd",$E71="Masters"),'Point Schedule'!$I$5,IF(AND($H71="3rd",$E71="Masters"),'Point Schedule'!$I$6,IF(AND($H71="4th",$E71="Masters"),'Point Schedule'!$I$7,0))))</f>
        <v>0</v>
      </c>
      <c r="P71" s="102">
        <f>IF(AND($H71="1st",$E71="Premier"),'Point Schedule'!$H$4,IF(AND($H71="2nd",$E71="Premier"),'Point Schedule'!$H$5,IF(AND($H71="3rd",$E71="Premier"),'Point Schedule'!$H$6,IF(AND($H71="4th",$E71="Premier"),'Point Schedule'!$H$7,0))))</f>
        <v>0</v>
      </c>
      <c r="Q71" s="102">
        <f>IF(AND(E71="Novice",G71="Yes"),'Point Schedule'!$C$9,IF(AND(E71="Open",G71="Yes"),'Point Schedule'!$E$9,IF(AND(E71="T2B",G71="Yes"),'Point Schedule'!$E$9,IF(AND(E71="Excellent",G71="Yes"),'Point Schedule'!$G$9,IF(AND(E71="Masters",G71="YES"),'Point Schedule'!$I$9,IF(AND(E71="Premier",G71="YES"),'Point Schedule'!$H$9,0))))))</f>
        <v>0</v>
      </c>
      <c r="R71" s="105">
        <f>IF(I71="Yes",'Point Schedule'!$C$12,0)</f>
        <v>0</v>
      </c>
      <c r="S71" s="104">
        <f>IF(J71="Yes",'Point Schedule'!$C$13,0)</f>
        <v>0</v>
      </c>
      <c r="T71" s="104">
        <f>IF(K71="Yes",'Point Schedule'!$C$14,0)</f>
        <v>0</v>
      </c>
      <c r="U71" s="93">
        <f>IF(AND(B71=B119,NOT($B71=0),NOT(F71=F119)),'Point Schedule'!$C$11,0)</f>
        <v>0</v>
      </c>
      <c r="V71" s="761"/>
      <c r="Y71" s="178"/>
      <c r="Z71" s="179"/>
      <c r="AA71" s="175">
        <f t="shared" si="2"/>
        <v>0</v>
      </c>
      <c r="AB71" s="176">
        <f t="shared" si="3"/>
        <v>0</v>
      </c>
      <c r="AC71" s="177">
        <f t="shared" si="4"/>
        <v>0</v>
      </c>
      <c r="AD71" s="176">
        <f t="shared" si="5"/>
        <v>0</v>
      </c>
    </row>
    <row r="72" spans="1:30" ht="20.149999999999999" customHeight="1" x14ac:dyDescent="0.7">
      <c r="A72" s="387"/>
      <c r="B72" s="265"/>
      <c r="C72" s="716"/>
      <c r="D72" s="718"/>
      <c r="E72" s="264"/>
      <c r="F72" s="264"/>
      <c r="G72" s="264"/>
      <c r="H72" s="264"/>
      <c r="I72" s="264"/>
      <c r="J72" s="267"/>
      <c r="K72" s="267"/>
      <c r="L72" s="107">
        <f>IF(AND($H72="1st",$E72="Novice"),'Point Schedule'!$C$4,IF(AND($H72="2nd",$E72="Novice"),'Point Schedule'!$C$5,IF(AND($H72="3rd",$E72="Novice"),'Point Schedule'!$C$6,IF(AND($H72="4th",$E72="Novice"),'Point Schedule'!$C$7,0))))</f>
        <v>0</v>
      </c>
      <c r="M72" s="102">
        <f>IF(AND($H72="1st",$E72="Open"),'Point Schedule'!$E$4,IF(AND($H72="2nd",$E72="Open"),'Point Schedule'!$E$5,IF(AND($H72="3rd",$E72="Open"),'Point Schedule'!$E$6,IF(AND($H72="4th",$E72="Open"),'Point Schedule'!$E$7,0))))</f>
        <v>0</v>
      </c>
      <c r="N72" s="107">
        <f>IF(AND($H72="1st",$E72="Excellent"),'Point Schedule'!$G$4,IF(AND($H72="2nd",$E72="Excellent"),'Point Schedule'!$G$5,IF(AND($H72="3rd",$E72="Excellent"),'Point Schedule'!$G$6,IF(AND($H72="4th",$E72="Excellent"),'Point Schedule'!$G$7,0))))</f>
        <v>0</v>
      </c>
      <c r="O72" s="107">
        <f>IF(AND($H72="1st",$E72="Masters"),'Point Schedule'!$I$4,IF(AND($H72="2nd",$E72="Masters"),'Point Schedule'!$I$5,IF(AND($H72="3rd",$E72="Masters"),'Point Schedule'!$I$6,IF(AND($H72="4th",$E72="Masters"),'Point Schedule'!$I$7,0))))</f>
        <v>0</v>
      </c>
      <c r="P72" s="102">
        <f>IF(AND($H72="1st",$E72="Premier"),'Point Schedule'!$H$4,IF(AND($H72="2nd",$E72="Premier"),'Point Schedule'!$H$5,IF(AND($H72="3rd",$E72="Premier"),'Point Schedule'!$H$6,IF(AND($H72="4th",$E72="Premier"),'Point Schedule'!$H$7,0))))</f>
        <v>0</v>
      </c>
      <c r="Q72" s="102">
        <f>IF(AND(E72="Novice",G72="Yes"),'Point Schedule'!$C$9,IF(AND(E72="Open",G72="Yes"),'Point Schedule'!$E$9,IF(AND(E72="T2B",G72="Yes"),'Point Schedule'!$E$9,IF(AND(E72="Excellent",G72="Yes"),'Point Schedule'!$G$9,IF(AND(E72="Masters",G72="YES"),'Point Schedule'!$I$9,IF(AND(E72="Premier",G72="YES"),'Point Schedule'!$H$9,0))))))</f>
        <v>0</v>
      </c>
      <c r="R72" s="105">
        <f>IF(I72="Yes",'Point Schedule'!$C$12,0)</f>
        <v>0</v>
      </c>
      <c r="S72" s="104">
        <f>IF(J72="Yes",'Point Schedule'!$C$13,0)</f>
        <v>0</v>
      </c>
      <c r="T72" s="104">
        <f>IF(K72="Yes",'Point Schedule'!$C$14,0)</f>
        <v>0</v>
      </c>
      <c r="U72" s="93">
        <f>IF(AND(B72=B120,NOT($B72=0),NOT(F72=F120)),'Point Schedule'!$C$11,0)</f>
        <v>0</v>
      </c>
      <c r="V72" s="761"/>
      <c r="Y72" s="178"/>
      <c r="Z72" s="179"/>
      <c r="AA72" s="175">
        <f t="shared" si="2"/>
        <v>0</v>
      </c>
      <c r="AB72" s="176">
        <f t="shared" si="3"/>
        <v>0</v>
      </c>
      <c r="AC72" s="177">
        <f t="shared" si="4"/>
        <v>0</v>
      </c>
      <c r="AD72" s="176">
        <f t="shared" si="5"/>
        <v>0</v>
      </c>
    </row>
    <row r="73" spans="1:30" ht="20.149999999999999" customHeight="1" x14ac:dyDescent="0.7">
      <c r="A73" s="387"/>
      <c r="B73" s="265"/>
      <c r="C73" s="716"/>
      <c r="D73" s="718"/>
      <c r="E73" s="264"/>
      <c r="F73" s="264"/>
      <c r="G73" s="264"/>
      <c r="H73" s="264"/>
      <c r="I73" s="264"/>
      <c r="J73" s="267"/>
      <c r="K73" s="267"/>
      <c r="L73" s="107">
        <f>IF(AND($H73="1st",$E73="Novice"),'Point Schedule'!$C$4,IF(AND($H73="2nd",$E73="Novice"),'Point Schedule'!$C$5,IF(AND($H73="3rd",$E73="Novice"),'Point Schedule'!$C$6,IF(AND($H73="4th",$E73="Novice"),'Point Schedule'!$C$7,0))))</f>
        <v>0</v>
      </c>
      <c r="M73" s="102">
        <f>IF(AND($H73="1st",$E73="Open"),'Point Schedule'!$E$4,IF(AND($H73="2nd",$E73="Open"),'Point Schedule'!$E$5,IF(AND($H73="3rd",$E73="Open"),'Point Schedule'!$E$6,IF(AND($H73="4th",$E73="Open"),'Point Schedule'!$E$7,0))))</f>
        <v>0</v>
      </c>
      <c r="N73" s="107">
        <f>IF(AND($H73="1st",$E73="Excellent"),'Point Schedule'!$G$4,IF(AND($H73="2nd",$E73="Excellent"),'Point Schedule'!$G$5,IF(AND($H73="3rd",$E73="Excellent"),'Point Schedule'!$G$6,IF(AND($H73="4th",$E73="Excellent"),'Point Schedule'!$G$7,0))))</f>
        <v>0</v>
      </c>
      <c r="O73" s="107">
        <f>IF(AND($H73="1st",$E73="Masters"),'Point Schedule'!$I$4,IF(AND($H73="2nd",$E73="Masters"),'Point Schedule'!$I$5,IF(AND($H73="3rd",$E73="Masters"),'Point Schedule'!$I$6,IF(AND($H73="4th",$E73="Masters"),'Point Schedule'!$I$7,0))))</f>
        <v>0</v>
      </c>
      <c r="P73" s="102">
        <f>IF(AND($H73="1st",$E73="Premier"),'Point Schedule'!$H$4,IF(AND($H73="2nd",$E73="Premier"),'Point Schedule'!$H$5,IF(AND($H73="3rd",$E73="Premier"),'Point Schedule'!$H$6,IF(AND($H73="4th",$E73="Premier"),'Point Schedule'!$H$7,0))))</f>
        <v>0</v>
      </c>
      <c r="Q73" s="102">
        <f>IF(AND(E73="Novice",G73="Yes"),'Point Schedule'!$C$9,IF(AND(E73="Open",G73="Yes"),'Point Schedule'!$E$9,IF(AND(E73="T2B",G73="Yes"),'Point Schedule'!$E$9,IF(AND(E73="Excellent",G73="Yes"),'Point Schedule'!$G$9,IF(AND(E73="Masters",G73="YES"),'Point Schedule'!$I$9,IF(AND(E73="Premier",G73="YES"),'Point Schedule'!$H$9,0))))))</f>
        <v>0</v>
      </c>
      <c r="R73" s="105">
        <f>IF(I73="Yes",'Point Schedule'!$C$12,0)</f>
        <v>0</v>
      </c>
      <c r="S73" s="104">
        <f>IF(J73="Yes",'Point Schedule'!$C$13,0)</f>
        <v>0</v>
      </c>
      <c r="T73" s="104">
        <f>IF(K73="Yes",'Point Schedule'!$C$14,0)</f>
        <v>0</v>
      </c>
      <c r="U73" s="93">
        <f>IF(AND(B73=B121,NOT($B73=0),NOT(F73=F121)),'Point Schedule'!$C$11,0)</f>
        <v>0</v>
      </c>
      <c r="V73" s="761"/>
      <c r="Y73" s="178"/>
      <c r="Z73" s="179"/>
      <c r="AA73" s="175">
        <f t="shared" si="2"/>
        <v>0</v>
      </c>
      <c r="AB73" s="176">
        <f t="shared" si="3"/>
        <v>0</v>
      </c>
      <c r="AC73" s="177">
        <f t="shared" si="4"/>
        <v>0</v>
      </c>
      <c r="AD73" s="176">
        <f t="shared" si="5"/>
        <v>0</v>
      </c>
    </row>
    <row r="74" spans="1:30" ht="20.149999999999999" customHeight="1" x14ac:dyDescent="0.7">
      <c r="A74" s="387"/>
      <c r="B74" s="265"/>
      <c r="C74" s="716"/>
      <c r="D74" s="718"/>
      <c r="E74" s="264"/>
      <c r="F74" s="264"/>
      <c r="G74" s="264"/>
      <c r="H74" s="264"/>
      <c r="I74" s="264"/>
      <c r="J74" s="267"/>
      <c r="K74" s="267"/>
      <c r="L74" s="107">
        <f>IF(AND($H74="1st",$E74="Novice"),'Point Schedule'!$C$4,IF(AND($H74="2nd",$E74="Novice"),'Point Schedule'!$C$5,IF(AND($H74="3rd",$E74="Novice"),'Point Schedule'!$C$6,IF(AND($H74="4th",$E74="Novice"),'Point Schedule'!$C$7,0))))</f>
        <v>0</v>
      </c>
      <c r="M74" s="102">
        <f>IF(AND($H74="1st",$E74="Open"),'Point Schedule'!$E$4,IF(AND($H74="2nd",$E74="Open"),'Point Schedule'!$E$5,IF(AND($H74="3rd",$E74="Open"),'Point Schedule'!$E$6,IF(AND($H74="4th",$E74="Open"),'Point Schedule'!$E$7,0))))</f>
        <v>0</v>
      </c>
      <c r="N74" s="107">
        <f>IF(AND($H74="1st",$E74="Excellent"),'Point Schedule'!$G$4,IF(AND($H74="2nd",$E74="Excellent"),'Point Schedule'!$G$5,IF(AND($H74="3rd",$E74="Excellent"),'Point Schedule'!$G$6,IF(AND($H74="4th",$E74="Excellent"),'Point Schedule'!$G$7,0))))</f>
        <v>0</v>
      </c>
      <c r="O74" s="107">
        <f>IF(AND($H74="1st",$E74="Masters"),'Point Schedule'!$I$4,IF(AND($H74="2nd",$E74="Masters"),'Point Schedule'!$I$5,IF(AND($H74="3rd",$E74="Masters"),'Point Schedule'!$I$6,IF(AND($H74="4th",$E74="Masters"),'Point Schedule'!$I$7,0))))</f>
        <v>0</v>
      </c>
      <c r="P74" s="102">
        <f>IF(AND($H74="1st",$E74="Premier"),'Point Schedule'!$H$4,IF(AND($H74="2nd",$E74="Premier"),'Point Schedule'!$H$5,IF(AND($H74="3rd",$E74="Premier"),'Point Schedule'!$H$6,IF(AND($H74="4th",$E74="Premier"),'Point Schedule'!$H$7,0))))</f>
        <v>0</v>
      </c>
      <c r="Q74" s="102">
        <f>IF(AND(E74="Novice",G74="Yes"),'Point Schedule'!$C$9,IF(AND(E74="Open",G74="Yes"),'Point Schedule'!$E$9,IF(AND(E74="T2B",G74="Yes"),'Point Schedule'!$E$9,IF(AND(E74="Excellent",G74="Yes"),'Point Schedule'!$G$9,IF(AND(E74="Masters",G74="YES"),'Point Schedule'!$I$9,IF(AND(E74="Premier",G74="YES"),'Point Schedule'!$H$9,0))))))</f>
        <v>0</v>
      </c>
      <c r="R74" s="105">
        <f>IF(I74="Yes",'Point Schedule'!$C$12,0)</f>
        <v>0</v>
      </c>
      <c r="S74" s="104">
        <f>IF(J74="Yes",'Point Schedule'!$C$13,0)</f>
        <v>0</v>
      </c>
      <c r="T74" s="104">
        <f>IF(K74="Yes",'Point Schedule'!$C$14,0)</f>
        <v>0</v>
      </c>
      <c r="U74" s="93">
        <f>IF(AND(B74=B122,NOT($B74=0),NOT(F74=F122)),'Point Schedule'!$C$11,0)</f>
        <v>0</v>
      </c>
      <c r="V74" s="761"/>
      <c r="Y74" s="178"/>
      <c r="Z74" s="179"/>
      <c r="AA74" s="175">
        <f t="shared" si="2"/>
        <v>0</v>
      </c>
      <c r="AB74" s="176">
        <f t="shared" si="3"/>
        <v>0</v>
      </c>
      <c r="AC74" s="177">
        <f t="shared" si="4"/>
        <v>0</v>
      </c>
      <c r="AD74" s="176">
        <f t="shared" si="5"/>
        <v>0</v>
      </c>
    </row>
    <row r="75" spans="1:30" ht="20.149999999999999" customHeight="1" x14ac:dyDescent="0.7">
      <c r="A75" s="387"/>
      <c r="B75" s="265"/>
      <c r="C75" s="716"/>
      <c r="D75" s="718"/>
      <c r="E75" s="264"/>
      <c r="F75" s="264"/>
      <c r="G75" s="264"/>
      <c r="H75" s="264"/>
      <c r="I75" s="264"/>
      <c r="J75" s="267"/>
      <c r="K75" s="267"/>
      <c r="L75" s="107">
        <f>IF(AND($H75="1st",$E75="Novice"),'Point Schedule'!$C$4,IF(AND($H75="2nd",$E75="Novice"),'Point Schedule'!$C$5,IF(AND($H75="3rd",$E75="Novice"),'Point Schedule'!$C$6,IF(AND($H75="4th",$E75="Novice"),'Point Schedule'!$C$7,0))))</f>
        <v>0</v>
      </c>
      <c r="M75" s="102">
        <f>IF(AND($H75="1st",$E75="Open"),'Point Schedule'!$E$4,IF(AND($H75="2nd",$E75="Open"),'Point Schedule'!$E$5,IF(AND($H75="3rd",$E75="Open"),'Point Schedule'!$E$6,IF(AND($H75="4th",$E75="Open"),'Point Schedule'!$E$7,0))))</f>
        <v>0</v>
      </c>
      <c r="N75" s="107">
        <f>IF(AND($H75="1st",$E75="Excellent"),'Point Schedule'!$G$4,IF(AND($H75="2nd",$E75="Excellent"),'Point Schedule'!$G$5,IF(AND($H75="3rd",$E75="Excellent"),'Point Schedule'!$G$6,IF(AND($H75="4th",$E75="Excellent"),'Point Schedule'!$G$7,0))))</f>
        <v>0</v>
      </c>
      <c r="O75" s="107">
        <f>IF(AND($H75="1st",$E75="Masters"),'Point Schedule'!$I$4,IF(AND($H75="2nd",$E75="Masters"),'Point Schedule'!$I$5,IF(AND($H75="3rd",$E75="Masters"),'Point Schedule'!$I$6,IF(AND($H75="4th",$E75="Masters"),'Point Schedule'!$I$7,0))))</f>
        <v>0</v>
      </c>
      <c r="P75" s="102">
        <f>IF(AND($H75="1st",$E75="Premier"),'Point Schedule'!$H$4,IF(AND($H75="2nd",$E75="Premier"),'Point Schedule'!$H$5,IF(AND($H75="3rd",$E75="Premier"),'Point Schedule'!$H$6,IF(AND($H75="4th",$E75="Premier"),'Point Schedule'!$H$7,0))))</f>
        <v>0</v>
      </c>
      <c r="Q75" s="102">
        <f>IF(AND(E75="Novice",G75="Yes"),'Point Schedule'!$C$9,IF(AND(E75="Open",G75="Yes"),'Point Schedule'!$E$9,IF(AND(E75="T2B",G75="Yes"),'Point Schedule'!$E$9,IF(AND(E75="Excellent",G75="Yes"),'Point Schedule'!$G$9,IF(AND(E75="Masters",G75="YES"),'Point Schedule'!$I$9,IF(AND(E75="Premier",G75="YES"),'Point Schedule'!$H$9,0))))))</f>
        <v>0</v>
      </c>
      <c r="R75" s="105">
        <f>IF(I75="Yes",'Point Schedule'!$C$12,0)</f>
        <v>0</v>
      </c>
      <c r="S75" s="104">
        <f>IF(J75="Yes",'Point Schedule'!$C$13,0)</f>
        <v>0</v>
      </c>
      <c r="T75" s="104">
        <f>IF(K75="Yes",'Point Schedule'!$C$14,0)</f>
        <v>0</v>
      </c>
      <c r="U75" s="93">
        <f>IF(AND(B75=B123,NOT($B75=0),NOT(F75=F123)),'Point Schedule'!$C$11,0)</f>
        <v>0</v>
      </c>
      <c r="V75" s="761"/>
      <c r="Y75" s="178"/>
      <c r="Z75" s="179"/>
      <c r="AA75" s="175">
        <f t="shared" si="2"/>
        <v>0</v>
      </c>
      <c r="AB75" s="176">
        <f t="shared" si="3"/>
        <v>0</v>
      </c>
      <c r="AC75" s="177">
        <f t="shared" ref="AC75:AC101" si="6">IF($H75="1st",$AA75*2,0)</f>
        <v>0</v>
      </c>
      <c r="AD75" s="176">
        <f t="shared" ref="AD75:AD101" si="7">IF($H75="2nd",$AA75*1.5,0)</f>
        <v>0</v>
      </c>
    </row>
    <row r="76" spans="1:30" ht="20.149999999999999" customHeight="1" x14ac:dyDescent="0.7">
      <c r="A76" s="387"/>
      <c r="B76" s="265"/>
      <c r="C76" s="716"/>
      <c r="D76" s="718"/>
      <c r="E76" s="264"/>
      <c r="F76" s="264"/>
      <c r="G76" s="264"/>
      <c r="H76" s="264"/>
      <c r="I76" s="264"/>
      <c r="J76" s="267"/>
      <c r="K76" s="267"/>
      <c r="L76" s="107">
        <f>IF(AND($H76="1st",$E76="Novice"),'Point Schedule'!$C$4,IF(AND($H76="2nd",$E76="Novice"),'Point Schedule'!$C$5,IF(AND($H76="3rd",$E76="Novice"),'Point Schedule'!$C$6,IF(AND($H76="4th",$E76="Novice"),'Point Schedule'!$C$7,0))))</f>
        <v>0</v>
      </c>
      <c r="M76" s="102">
        <f>IF(AND($H76="1st",$E76="Open"),'Point Schedule'!$E$4,IF(AND($H76="2nd",$E76="Open"),'Point Schedule'!$E$5,IF(AND($H76="3rd",$E76="Open"),'Point Schedule'!$E$6,IF(AND($H76="4th",$E76="Open"),'Point Schedule'!$E$7,0))))</f>
        <v>0</v>
      </c>
      <c r="N76" s="107">
        <f>IF(AND($H76="1st",$E76="Excellent"),'Point Schedule'!$G$4,IF(AND($H76="2nd",$E76="Excellent"),'Point Schedule'!$G$5,IF(AND($H76="3rd",$E76="Excellent"),'Point Schedule'!$G$6,IF(AND($H76="4th",$E76="Excellent"),'Point Schedule'!$G$7,0))))</f>
        <v>0</v>
      </c>
      <c r="O76" s="107">
        <f>IF(AND($H76="1st",$E76="Masters"),'Point Schedule'!$I$4,IF(AND($H76="2nd",$E76="Masters"),'Point Schedule'!$I$5,IF(AND($H76="3rd",$E76="Masters"),'Point Schedule'!$I$6,IF(AND($H76="4th",$E76="Masters"),'Point Schedule'!$I$7,0))))</f>
        <v>0</v>
      </c>
      <c r="P76" s="102">
        <f>IF(AND($H76="1st",$E76="Premier"),'Point Schedule'!$H$4,IF(AND($H76="2nd",$E76="Premier"),'Point Schedule'!$H$5,IF(AND($H76="3rd",$E76="Premier"),'Point Schedule'!$H$6,IF(AND($H76="4th",$E76="Premier"),'Point Schedule'!$H$7,0))))</f>
        <v>0</v>
      </c>
      <c r="Q76" s="102">
        <f>IF(AND(E76="Novice",G76="Yes"),'Point Schedule'!$C$9,IF(AND(E76="Open",G76="Yes"),'Point Schedule'!$E$9,IF(AND(E76="T2B",G76="Yes"),'Point Schedule'!$E$9,IF(AND(E76="Excellent",G76="Yes"),'Point Schedule'!$G$9,IF(AND(E76="Masters",G76="YES"),'Point Schedule'!$I$9,IF(AND(E76="Premier",G76="YES"),'Point Schedule'!$H$9,0))))))</f>
        <v>0</v>
      </c>
      <c r="R76" s="105">
        <f>IF(I76="Yes",'Point Schedule'!$C$12,0)</f>
        <v>0</v>
      </c>
      <c r="S76" s="104">
        <f>IF(J76="Yes",'Point Schedule'!$C$13,0)</f>
        <v>0</v>
      </c>
      <c r="T76" s="104">
        <f>IF(K76="Yes",'Point Schedule'!$C$14,0)</f>
        <v>0</v>
      </c>
      <c r="U76" s="93">
        <f>IF(AND(B76=B124,NOT($B76=0),NOT(F76=F124)),'Point Schedule'!$C$11,0)</f>
        <v>0</v>
      </c>
      <c r="V76" s="761"/>
      <c r="Y76" s="178"/>
      <c r="Z76" s="179"/>
      <c r="AA76" s="175">
        <f t="shared" si="2"/>
        <v>0</v>
      </c>
      <c r="AB76" s="176">
        <f t="shared" si="3"/>
        <v>0</v>
      </c>
      <c r="AC76" s="177">
        <f t="shared" si="6"/>
        <v>0</v>
      </c>
      <c r="AD76" s="176">
        <f t="shared" si="7"/>
        <v>0</v>
      </c>
    </row>
    <row r="77" spans="1:30" ht="20.149999999999999" customHeight="1" x14ac:dyDescent="0.7">
      <c r="A77" s="387"/>
      <c r="B77" s="265"/>
      <c r="C77" s="716"/>
      <c r="D77" s="718"/>
      <c r="E77" s="264"/>
      <c r="F77" s="264"/>
      <c r="G77" s="264"/>
      <c r="H77" s="264"/>
      <c r="I77" s="264"/>
      <c r="J77" s="267"/>
      <c r="K77" s="267"/>
      <c r="L77" s="107">
        <f>IF(AND($H77="1st",$E77="Novice"),'Point Schedule'!$C$4,IF(AND($H77="2nd",$E77="Novice"),'Point Schedule'!$C$5,IF(AND($H77="3rd",$E77="Novice"),'Point Schedule'!$C$6,IF(AND($H77="4th",$E77="Novice"),'Point Schedule'!$C$7,0))))</f>
        <v>0</v>
      </c>
      <c r="M77" s="102">
        <f>IF(AND($H77="1st",$E77="Open"),'Point Schedule'!$E$4,IF(AND($H77="2nd",$E77="Open"),'Point Schedule'!$E$5,IF(AND($H77="3rd",$E77="Open"),'Point Schedule'!$E$6,IF(AND($H77="4th",$E77="Open"),'Point Schedule'!$E$7,0))))</f>
        <v>0</v>
      </c>
      <c r="N77" s="107">
        <f>IF(AND($H77="1st",$E77="Excellent"),'Point Schedule'!$G$4,IF(AND($H77="2nd",$E77="Excellent"),'Point Schedule'!$G$5,IF(AND($H77="3rd",$E77="Excellent"),'Point Schedule'!$G$6,IF(AND($H77="4th",$E77="Excellent"),'Point Schedule'!$G$7,0))))</f>
        <v>0</v>
      </c>
      <c r="O77" s="107">
        <f>IF(AND($H77="1st",$E77="Masters"),'Point Schedule'!$I$4,IF(AND($H77="2nd",$E77="Masters"),'Point Schedule'!$I$5,IF(AND($H77="3rd",$E77="Masters"),'Point Schedule'!$I$6,IF(AND($H77="4th",$E77="Masters"),'Point Schedule'!$I$7,0))))</f>
        <v>0</v>
      </c>
      <c r="P77" s="102">
        <f>IF(AND($H77="1st",$E77="Premier"),'Point Schedule'!$H$4,IF(AND($H77="2nd",$E77="Premier"),'Point Schedule'!$H$5,IF(AND($H77="3rd",$E77="Premier"),'Point Schedule'!$H$6,IF(AND($H77="4th",$E77="Premier"),'Point Schedule'!$H$7,0))))</f>
        <v>0</v>
      </c>
      <c r="Q77" s="102">
        <f>IF(AND(E77="Novice",G77="Yes"),'Point Schedule'!$C$9,IF(AND(E77="Open",G77="Yes"),'Point Schedule'!$E$9,IF(AND(E77="T2B",G77="Yes"),'Point Schedule'!$E$9,IF(AND(E77="Excellent",G77="Yes"),'Point Schedule'!$G$9,IF(AND(E77="Masters",G77="YES"),'Point Schedule'!$I$9,IF(AND(E77="Premier",G77="YES"),'Point Schedule'!$H$9,0))))))</f>
        <v>0</v>
      </c>
      <c r="R77" s="105">
        <f>IF(I77="Yes",'Point Schedule'!$C$12,0)</f>
        <v>0</v>
      </c>
      <c r="S77" s="104">
        <f>IF(J77="Yes",'Point Schedule'!$C$13,0)</f>
        <v>0</v>
      </c>
      <c r="T77" s="104">
        <f>IF(K77="Yes",'Point Schedule'!$C$14,0)</f>
        <v>0</v>
      </c>
      <c r="U77" s="93">
        <f>IF(AND(B77=B125,NOT($B77=0),NOT(F77=F125)),'Point Schedule'!$C$11,0)</f>
        <v>0</v>
      </c>
      <c r="V77" s="761"/>
      <c r="Y77" s="178"/>
      <c r="Z77" s="179"/>
      <c r="AA77" s="175">
        <f t="shared" si="2"/>
        <v>0</v>
      </c>
      <c r="AB77" s="176">
        <f t="shared" si="3"/>
        <v>0</v>
      </c>
      <c r="AC77" s="177">
        <f t="shared" si="6"/>
        <v>0</v>
      </c>
      <c r="AD77" s="176">
        <f t="shared" si="7"/>
        <v>0</v>
      </c>
    </row>
    <row r="78" spans="1:30" ht="20.149999999999999" customHeight="1" x14ac:dyDescent="0.7">
      <c r="A78" s="387"/>
      <c r="B78" s="265"/>
      <c r="C78" s="716"/>
      <c r="D78" s="718"/>
      <c r="E78" s="264"/>
      <c r="F78" s="264"/>
      <c r="G78" s="264"/>
      <c r="H78" s="264"/>
      <c r="I78" s="264"/>
      <c r="J78" s="267"/>
      <c r="K78" s="267"/>
      <c r="L78" s="107">
        <f>IF(AND($H78="1st",$E78="Novice"),'Point Schedule'!$C$4,IF(AND($H78="2nd",$E78="Novice"),'Point Schedule'!$C$5,IF(AND($H78="3rd",$E78="Novice"),'Point Schedule'!$C$6,IF(AND($H78="4th",$E78="Novice"),'Point Schedule'!$C$7,0))))</f>
        <v>0</v>
      </c>
      <c r="M78" s="102">
        <f>IF(AND($H78="1st",$E78="Open"),'Point Schedule'!$E$4,IF(AND($H78="2nd",$E78="Open"),'Point Schedule'!$E$5,IF(AND($H78="3rd",$E78="Open"),'Point Schedule'!$E$6,IF(AND($H78="4th",$E78="Open"),'Point Schedule'!$E$7,0))))</f>
        <v>0</v>
      </c>
      <c r="N78" s="107">
        <f>IF(AND($H78="1st",$E78="Excellent"),'Point Schedule'!$G$4,IF(AND($H78="2nd",$E78="Excellent"),'Point Schedule'!$G$5,IF(AND($H78="3rd",$E78="Excellent"),'Point Schedule'!$G$6,IF(AND($H78="4th",$E78="Excellent"),'Point Schedule'!$G$7,0))))</f>
        <v>0</v>
      </c>
      <c r="O78" s="107">
        <f>IF(AND($H78="1st",$E78="Masters"),'Point Schedule'!$I$4,IF(AND($H78="2nd",$E78="Masters"),'Point Schedule'!$I$5,IF(AND($H78="3rd",$E78="Masters"),'Point Schedule'!$I$6,IF(AND($H78="4th",$E78="Masters"),'Point Schedule'!$I$7,0))))</f>
        <v>0</v>
      </c>
      <c r="P78" s="102">
        <f>IF(AND($H78="1st",$E78="Premier"),'Point Schedule'!$H$4,IF(AND($H78="2nd",$E78="Premier"),'Point Schedule'!$H$5,IF(AND($H78="3rd",$E78="Premier"),'Point Schedule'!$H$6,IF(AND($H78="4th",$E78="Premier"),'Point Schedule'!$H$7,0))))</f>
        <v>0</v>
      </c>
      <c r="Q78" s="102">
        <f>IF(AND(E78="Novice",G78="Yes"),'Point Schedule'!$C$9,IF(AND(E78="Open",G78="Yes"),'Point Schedule'!$E$9,IF(AND(E78="T2B",G78="Yes"),'Point Schedule'!$E$9,IF(AND(E78="Excellent",G78="Yes"),'Point Schedule'!$G$9,IF(AND(E78="Masters",G78="YES"),'Point Schedule'!$I$9,IF(AND(E78="Premier",G78="YES"),'Point Schedule'!$H$9,0))))))</f>
        <v>0</v>
      </c>
      <c r="R78" s="105">
        <f>IF(I78="Yes",'Point Schedule'!$C$12,0)</f>
        <v>0</v>
      </c>
      <c r="S78" s="104">
        <f>IF(J78="Yes",'Point Schedule'!$C$13,0)</f>
        <v>0</v>
      </c>
      <c r="T78" s="104">
        <f>IF(K78="Yes",'Point Schedule'!$C$14,0)</f>
        <v>0</v>
      </c>
      <c r="U78" s="93">
        <f>IF(AND(B78=B126,NOT($B78=0),NOT(F78=F126)),'Point Schedule'!$C$11,0)</f>
        <v>0</v>
      </c>
      <c r="V78" s="761"/>
      <c r="Y78" s="178"/>
      <c r="Z78" s="179"/>
      <c r="AA78" s="175">
        <f t="shared" si="2"/>
        <v>0</v>
      </c>
      <c r="AB78" s="176">
        <f t="shared" si="3"/>
        <v>0</v>
      </c>
      <c r="AC78" s="177">
        <f t="shared" si="6"/>
        <v>0</v>
      </c>
      <c r="AD78" s="176">
        <f t="shared" si="7"/>
        <v>0</v>
      </c>
    </row>
    <row r="79" spans="1:30" ht="20.149999999999999" customHeight="1" x14ac:dyDescent="0.7">
      <c r="A79" s="387"/>
      <c r="B79" s="265"/>
      <c r="C79" s="716"/>
      <c r="D79" s="718"/>
      <c r="E79" s="264"/>
      <c r="F79" s="264"/>
      <c r="G79" s="264"/>
      <c r="H79" s="264"/>
      <c r="I79" s="264"/>
      <c r="J79" s="267"/>
      <c r="K79" s="267"/>
      <c r="L79" s="107">
        <f>IF(AND($H79="1st",$E79="Novice"),'Point Schedule'!$C$4,IF(AND($H79="2nd",$E79="Novice"),'Point Schedule'!$C$5,IF(AND($H79="3rd",$E79="Novice"),'Point Schedule'!$C$6,IF(AND($H79="4th",$E79="Novice"),'Point Schedule'!$C$7,0))))</f>
        <v>0</v>
      </c>
      <c r="M79" s="102">
        <f>IF(AND($H79="1st",$E79="Open"),'Point Schedule'!$E$4,IF(AND($H79="2nd",$E79="Open"),'Point Schedule'!$E$5,IF(AND($H79="3rd",$E79="Open"),'Point Schedule'!$E$6,IF(AND($H79="4th",$E79="Open"),'Point Schedule'!$E$7,0))))</f>
        <v>0</v>
      </c>
      <c r="N79" s="107">
        <f>IF(AND($H79="1st",$E79="Excellent"),'Point Schedule'!$G$4,IF(AND($H79="2nd",$E79="Excellent"),'Point Schedule'!$G$5,IF(AND($H79="3rd",$E79="Excellent"),'Point Schedule'!$G$6,IF(AND($H79="4th",$E79="Excellent"),'Point Schedule'!$G$7,0))))</f>
        <v>0</v>
      </c>
      <c r="O79" s="107">
        <f>IF(AND($H79="1st",$E79="Masters"),'Point Schedule'!$I$4,IF(AND($H79="2nd",$E79="Masters"),'Point Schedule'!$I$5,IF(AND($H79="3rd",$E79="Masters"),'Point Schedule'!$I$6,IF(AND($H79="4th",$E79="Masters"),'Point Schedule'!$I$7,0))))</f>
        <v>0</v>
      </c>
      <c r="P79" s="102">
        <f>IF(AND($H79="1st",$E79="Premier"),'Point Schedule'!$H$4,IF(AND($H79="2nd",$E79="Premier"),'Point Schedule'!$H$5,IF(AND($H79="3rd",$E79="Premier"),'Point Schedule'!$H$6,IF(AND($H79="4th",$E79="Premier"),'Point Schedule'!$H$7,0))))</f>
        <v>0</v>
      </c>
      <c r="Q79" s="102">
        <f>IF(AND(E79="Novice",G79="Yes"),'Point Schedule'!$C$9,IF(AND(E79="Open",G79="Yes"),'Point Schedule'!$E$9,IF(AND(E79="T2B",G79="Yes"),'Point Schedule'!$E$9,IF(AND(E79="Excellent",G79="Yes"),'Point Schedule'!$G$9,IF(AND(E79="Masters",G79="YES"),'Point Schedule'!$I$9,IF(AND(E79="Premier",G79="YES"),'Point Schedule'!$H$9,0))))))</f>
        <v>0</v>
      </c>
      <c r="R79" s="105">
        <f>IF(I79="Yes",'Point Schedule'!$C$12,0)</f>
        <v>0</v>
      </c>
      <c r="S79" s="104">
        <f>IF(J79="Yes",'Point Schedule'!$C$13,0)</f>
        <v>0</v>
      </c>
      <c r="T79" s="104">
        <f>IF(K79="Yes",'Point Schedule'!$C$14,0)</f>
        <v>0</v>
      </c>
      <c r="U79" s="93">
        <f>IF(AND(B79=B127,NOT($B79=0),NOT(F79=F127)),'Point Schedule'!$C$11,0)</f>
        <v>0</v>
      </c>
      <c r="V79" s="761"/>
      <c r="Y79" s="178"/>
      <c r="Z79" s="179"/>
      <c r="AA79" s="175">
        <f t="shared" si="2"/>
        <v>0</v>
      </c>
      <c r="AB79" s="176">
        <f t="shared" si="3"/>
        <v>0</v>
      </c>
      <c r="AC79" s="177">
        <f t="shared" si="6"/>
        <v>0</v>
      </c>
      <c r="AD79" s="176">
        <f t="shared" si="7"/>
        <v>0</v>
      </c>
    </row>
    <row r="80" spans="1:30" ht="20.149999999999999" customHeight="1" x14ac:dyDescent="0.7">
      <c r="A80" s="387"/>
      <c r="B80" s="265"/>
      <c r="C80" s="716"/>
      <c r="D80" s="718"/>
      <c r="E80" s="264"/>
      <c r="F80" s="264"/>
      <c r="G80" s="264"/>
      <c r="H80" s="264"/>
      <c r="I80" s="264"/>
      <c r="J80" s="267"/>
      <c r="K80" s="267"/>
      <c r="L80" s="107">
        <f>IF(AND($H80="1st",$E80="Novice"),'Point Schedule'!$C$4,IF(AND($H80="2nd",$E80="Novice"),'Point Schedule'!$C$5,IF(AND($H80="3rd",$E80="Novice"),'Point Schedule'!$C$6,IF(AND($H80="4th",$E80="Novice"),'Point Schedule'!$C$7,0))))</f>
        <v>0</v>
      </c>
      <c r="M80" s="102">
        <f>IF(AND($H80="1st",$E80="Open"),'Point Schedule'!$E$4,IF(AND($H80="2nd",$E80="Open"),'Point Schedule'!$E$5,IF(AND($H80="3rd",$E80="Open"),'Point Schedule'!$E$6,IF(AND($H80="4th",$E80="Open"),'Point Schedule'!$E$7,0))))</f>
        <v>0</v>
      </c>
      <c r="N80" s="107">
        <f>IF(AND($H80="1st",$E80="Excellent"),'Point Schedule'!$G$4,IF(AND($H80="2nd",$E80="Excellent"),'Point Schedule'!$G$5,IF(AND($H80="3rd",$E80="Excellent"),'Point Schedule'!$G$6,IF(AND($H80="4th",$E80="Excellent"),'Point Schedule'!$G$7,0))))</f>
        <v>0</v>
      </c>
      <c r="O80" s="107">
        <f>IF(AND($H80="1st",$E80="Masters"),'Point Schedule'!$I$4,IF(AND($H80="2nd",$E80="Masters"),'Point Schedule'!$I$5,IF(AND($H80="3rd",$E80="Masters"),'Point Schedule'!$I$6,IF(AND($H80="4th",$E80="Masters"),'Point Schedule'!$I$7,0))))</f>
        <v>0</v>
      </c>
      <c r="P80" s="102">
        <f>IF(AND($H80="1st",$E80="Premier"),'Point Schedule'!$H$4,IF(AND($H80="2nd",$E80="Premier"),'Point Schedule'!$H$5,IF(AND($H80="3rd",$E80="Premier"),'Point Schedule'!$H$6,IF(AND($H80="4th",$E80="Premier"),'Point Schedule'!$H$7,0))))</f>
        <v>0</v>
      </c>
      <c r="Q80" s="102">
        <f>IF(AND(E80="Novice",G80="Yes"),'Point Schedule'!$C$9,IF(AND(E80="Open",G80="Yes"),'Point Schedule'!$E$9,IF(AND(E80="T2B",G80="Yes"),'Point Schedule'!$E$9,IF(AND(E80="Excellent",G80="Yes"),'Point Schedule'!$G$9,IF(AND(E80="Masters",G80="YES"),'Point Schedule'!$I$9,IF(AND(E80="Premier",G80="YES"),'Point Schedule'!$H$9,0))))))</f>
        <v>0</v>
      </c>
      <c r="R80" s="105">
        <f>IF(I80="Yes",'Point Schedule'!$C$12,0)</f>
        <v>0</v>
      </c>
      <c r="S80" s="104">
        <f>IF(J80="Yes",'Point Schedule'!$C$13,0)</f>
        <v>0</v>
      </c>
      <c r="T80" s="104">
        <f>IF(K80="Yes",'Point Schedule'!$C$14,0)</f>
        <v>0</v>
      </c>
      <c r="U80" s="93">
        <f>IF(AND(B80=B128,NOT($B80=0),NOT(F80=F128)),'Point Schedule'!$C$11,0)</f>
        <v>0</v>
      </c>
      <c r="V80" s="761"/>
      <c r="Y80" s="178"/>
      <c r="Z80" s="179"/>
      <c r="AA80" s="175">
        <f t="shared" si="2"/>
        <v>0</v>
      </c>
      <c r="AB80" s="176">
        <f t="shared" si="3"/>
        <v>0</v>
      </c>
      <c r="AC80" s="177">
        <f t="shared" si="6"/>
        <v>0</v>
      </c>
      <c r="AD80" s="176">
        <f t="shared" si="7"/>
        <v>0</v>
      </c>
    </row>
    <row r="81" spans="1:30" ht="20.149999999999999" customHeight="1" x14ac:dyDescent="0.7">
      <c r="A81" s="387"/>
      <c r="B81" s="265"/>
      <c r="C81" s="716"/>
      <c r="D81" s="718"/>
      <c r="E81" s="264"/>
      <c r="F81" s="264"/>
      <c r="G81" s="264"/>
      <c r="H81" s="264"/>
      <c r="I81" s="264"/>
      <c r="J81" s="267"/>
      <c r="K81" s="267"/>
      <c r="L81" s="107">
        <f>IF(AND($H81="1st",$E81="Novice"),'Point Schedule'!$C$4,IF(AND($H81="2nd",$E81="Novice"),'Point Schedule'!$C$5,IF(AND($H81="3rd",$E81="Novice"),'Point Schedule'!$C$6,IF(AND($H81="4th",$E81="Novice"),'Point Schedule'!$C$7,0))))</f>
        <v>0</v>
      </c>
      <c r="M81" s="102">
        <f>IF(AND($H81="1st",$E81="Open"),'Point Schedule'!$E$4,IF(AND($H81="2nd",$E81="Open"),'Point Schedule'!$E$5,IF(AND($H81="3rd",$E81="Open"),'Point Schedule'!$E$6,IF(AND($H81="4th",$E81="Open"),'Point Schedule'!$E$7,0))))</f>
        <v>0</v>
      </c>
      <c r="N81" s="107">
        <f>IF(AND($H81="1st",$E81="Excellent"),'Point Schedule'!$G$4,IF(AND($H81="2nd",$E81="Excellent"),'Point Schedule'!$G$5,IF(AND($H81="3rd",$E81="Excellent"),'Point Schedule'!$G$6,IF(AND($H81="4th",$E81="Excellent"),'Point Schedule'!$G$7,0))))</f>
        <v>0</v>
      </c>
      <c r="O81" s="107">
        <f>IF(AND($H81="1st",$E81="Masters"),'Point Schedule'!$I$4,IF(AND($H81="2nd",$E81="Masters"),'Point Schedule'!$I$5,IF(AND($H81="3rd",$E81="Masters"),'Point Schedule'!$I$6,IF(AND($H81="4th",$E81="Masters"),'Point Schedule'!$I$7,0))))</f>
        <v>0</v>
      </c>
      <c r="P81" s="102">
        <f>IF(AND($H81="1st",$E81="Premier"),'Point Schedule'!$H$4,IF(AND($H81="2nd",$E81="Premier"),'Point Schedule'!$H$5,IF(AND($H81="3rd",$E81="Premier"),'Point Schedule'!$H$6,IF(AND($H81="4th",$E81="Premier"),'Point Schedule'!$H$7,0))))</f>
        <v>0</v>
      </c>
      <c r="Q81" s="102">
        <f>IF(AND(E81="Novice",G81="Yes"),'Point Schedule'!$C$9,IF(AND(E81="Open",G81="Yes"),'Point Schedule'!$E$9,IF(AND(E81="T2B",G81="Yes"),'Point Schedule'!$E$9,IF(AND(E81="Excellent",G81="Yes"),'Point Schedule'!$G$9,IF(AND(E81="Masters",G81="YES"),'Point Schedule'!$I$9,IF(AND(E81="Premier",G81="YES"),'Point Schedule'!$H$9,0))))))</f>
        <v>0</v>
      </c>
      <c r="R81" s="105">
        <f>IF(I81="Yes",'Point Schedule'!$C$12,0)</f>
        <v>0</v>
      </c>
      <c r="S81" s="104">
        <f>IF(J81="Yes",'Point Schedule'!$C$13,0)</f>
        <v>0</v>
      </c>
      <c r="T81" s="104">
        <f>IF(K81="Yes",'Point Schedule'!$C$14,0)</f>
        <v>0</v>
      </c>
      <c r="U81" s="93">
        <f>IF(AND(B81=B129,NOT($B81=0),NOT(F81=F129)),'Point Schedule'!$C$11,0)</f>
        <v>0</v>
      </c>
      <c r="V81" s="761"/>
      <c r="Y81" s="178"/>
      <c r="Z81" s="179"/>
      <c r="AA81" s="175">
        <f t="shared" si="2"/>
        <v>0</v>
      </c>
      <c r="AB81" s="176">
        <f t="shared" si="3"/>
        <v>0</v>
      </c>
      <c r="AC81" s="177">
        <f t="shared" si="6"/>
        <v>0</v>
      </c>
      <c r="AD81" s="176">
        <f t="shared" si="7"/>
        <v>0</v>
      </c>
    </row>
    <row r="82" spans="1:30" ht="20.149999999999999" customHeight="1" x14ac:dyDescent="0.7">
      <c r="A82" s="387"/>
      <c r="B82" s="265"/>
      <c r="C82" s="716"/>
      <c r="D82" s="718"/>
      <c r="E82" s="264"/>
      <c r="F82" s="264"/>
      <c r="G82" s="264"/>
      <c r="H82" s="264"/>
      <c r="I82" s="264"/>
      <c r="J82" s="267"/>
      <c r="K82" s="267"/>
      <c r="L82" s="107">
        <f>IF(AND($H82="1st",$E82="Novice"),'Point Schedule'!$C$4,IF(AND($H82="2nd",$E82="Novice"),'Point Schedule'!$C$5,IF(AND($H82="3rd",$E82="Novice"),'Point Schedule'!$C$6,IF(AND($H82="4th",$E82="Novice"),'Point Schedule'!$C$7,0))))</f>
        <v>0</v>
      </c>
      <c r="M82" s="102">
        <f>IF(AND($H82="1st",$E82="Open"),'Point Schedule'!$E$4,IF(AND($H82="2nd",$E82="Open"),'Point Schedule'!$E$5,IF(AND($H82="3rd",$E82="Open"),'Point Schedule'!$E$6,IF(AND($H82="4th",$E82="Open"),'Point Schedule'!$E$7,0))))</f>
        <v>0</v>
      </c>
      <c r="N82" s="107">
        <f>IF(AND($H82="1st",$E82="Excellent"),'Point Schedule'!$G$4,IF(AND($H82="2nd",$E82="Excellent"),'Point Schedule'!$G$5,IF(AND($H82="3rd",$E82="Excellent"),'Point Schedule'!$G$6,IF(AND($H82="4th",$E82="Excellent"),'Point Schedule'!$G$7,0))))</f>
        <v>0</v>
      </c>
      <c r="O82" s="107">
        <f>IF(AND($H82="1st",$E82="Masters"),'Point Schedule'!$I$4,IF(AND($H82="2nd",$E82="Masters"),'Point Schedule'!$I$5,IF(AND($H82="3rd",$E82="Masters"),'Point Schedule'!$I$6,IF(AND($H82="4th",$E82="Masters"),'Point Schedule'!$I$7,0))))</f>
        <v>0</v>
      </c>
      <c r="P82" s="102">
        <f>IF(AND($H82="1st",$E82="Premier"),'Point Schedule'!$H$4,IF(AND($H82="2nd",$E82="Premier"),'Point Schedule'!$H$5,IF(AND($H82="3rd",$E82="Premier"),'Point Schedule'!$H$6,IF(AND($H82="4th",$E82="Premier"),'Point Schedule'!$H$7,0))))</f>
        <v>0</v>
      </c>
      <c r="Q82" s="102">
        <f>IF(AND(E82="Novice",G82="Yes"),'Point Schedule'!$C$9,IF(AND(E82="Open",G82="Yes"),'Point Schedule'!$E$9,IF(AND(E82="T2B",G82="Yes"),'Point Schedule'!$E$9,IF(AND(E82="Excellent",G82="Yes"),'Point Schedule'!$G$9,IF(AND(E82="Masters",G82="YES"),'Point Schedule'!$I$9,IF(AND(E82="Premier",G82="YES"),'Point Schedule'!$H$9,0))))))</f>
        <v>0</v>
      </c>
      <c r="R82" s="105">
        <f>IF(I82="Yes",'Point Schedule'!$C$12,0)</f>
        <v>0</v>
      </c>
      <c r="S82" s="104">
        <f>IF(J82="Yes",'Point Schedule'!$C$13,0)</f>
        <v>0</v>
      </c>
      <c r="T82" s="104">
        <f>IF(K82="Yes",'Point Schedule'!$C$14,0)</f>
        <v>0</v>
      </c>
      <c r="U82" s="93">
        <f>IF(AND(B82=B130,NOT($B82=0),NOT(F82=F130)),'Point Schedule'!$C$11,0)</f>
        <v>0</v>
      </c>
      <c r="V82" s="761"/>
      <c r="Y82" s="178"/>
      <c r="Z82" s="179"/>
      <c r="AA82" s="175">
        <f t="shared" si="2"/>
        <v>0</v>
      </c>
      <c r="AB82" s="176">
        <f t="shared" si="3"/>
        <v>0</v>
      </c>
      <c r="AC82" s="177">
        <f t="shared" si="6"/>
        <v>0</v>
      </c>
      <c r="AD82" s="176">
        <f t="shared" si="7"/>
        <v>0</v>
      </c>
    </row>
    <row r="83" spans="1:30" ht="20.149999999999999" customHeight="1" x14ac:dyDescent="0.7">
      <c r="A83" s="387"/>
      <c r="B83" s="265"/>
      <c r="C83" s="716"/>
      <c r="D83" s="718"/>
      <c r="E83" s="264"/>
      <c r="F83" s="264"/>
      <c r="G83" s="264"/>
      <c r="H83" s="264"/>
      <c r="I83" s="264"/>
      <c r="J83" s="267"/>
      <c r="K83" s="267"/>
      <c r="L83" s="107">
        <f>IF(AND($H83="1st",$E83="Novice"),'Point Schedule'!$C$4,IF(AND($H83="2nd",$E83="Novice"),'Point Schedule'!$C$5,IF(AND($H83="3rd",$E83="Novice"),'Point Schedule'!$C$6,IF(AND($H83="4th",$E83="Novice"),'Point Schedule'!$C$7,0))))</f>
        <v>0</v>
      </c>
      <c r="M83" s="102">
        <f>IF(AND($H83="1st",$E83="Open"),'Point Schedule'!$E$4,IF(AND($H83="2nd",$E83="Open"),'Point Schedule'!$E$5,IF(AND($H83="3rd",$E83="Open"),'Point Schedule'!$E$6,IF(AND($H83="4th",$E83="Open"),'Point Schedule'!$E$7,0))))</f>
        <v>0</v>
      </c>
      <c r="N83" s="107">
        <f>IF(AND($H83="1st",$E83="Excellent"),'Point Schedule'!$G$4,IF(AND($H83="2nd",$E83="Excellent"),'Point Schedule'!$G$5,IF(AND($H83="3rd",$E83="Excellent"),'Point Schedule'!$G$6,IF(AND($H83="4th",$E83="Excellent"),'Point Schedule'!$G$7,0))))</f>
        <v>0</v>
      </c>
      <c r="O83" s="107">
        <f>IF(AND($H83="1st",$E83="Masters"),'Point Schedule'!$I$4,IF(AND($H83="2nd",$E83="Masters"),'Point Schedule'!$I$5,IF(AND($H83="3rd",$E83="Masters"),'Point Schedule'!$I$6,IF(AND($H83="4th",$E83="Masters"),'Point Schedule'!$I$7,0))))</f>
        <v>0</v>
      </c>
      <c r="P83" s="102">
        <f>IF(AND($H83="1st",$E83="Premier"),'Point Schedule'!$H$4,IF(AND($H83="2nd",$E83="Premier"),'Point Schedule'!$H$5,IF(AND($H83="3rd",$E83="Premier"),'Point Schedule'!$H$6,IF(AND($H83="4th",$E83="Premier"),'Point Schedule'!$H$7,0))))</f>
        <v>0</v>
      </c>
      <c r="Q83" s="102">
        <f>IF(AND(E83="Novice",G83="Yes"),'Point Schedule'!$C$9,IF(AND(E83="Open",G83="Yes"),'Point Schedule'!$E$9,IF(AND(E83="T2B",G83="Yes"),'Point Schedule'!$E$9,IF(AND(E83="Excellent",G83="Yes"),'Point Schedule'!$G$9,IF(AND(E83="Masters",G83="YES"),'Point Schedule'!$I$9,IF(AND(E83="Premier",G83="YES"),'Point Schedule'!$H$9,0))))))</f>
        <v>0</v>
      </c>
      <c r="R83" s="105">
        <f>IF(I83="Yes",'Point Schedule'!$C$12,0)</f>
        <v>0</v>
      </c>
      <c r="S83" s="104">
        <f>IF(J83="Yes",'Point Schedule'!$C$13,0)</f>
        <v>0</v>
      </c>
      <c r="T83" s="104">
        <f>IF(K83="Yes",'Point Schedule'!$C$14,0)</f>
        <v>0</v>
      </c>
      <c r="U83" s="93">
        <f>IF(AND(B83=B131,NOT($B83=0),NOT(F83=F131)),'Point Schedule'!$C$11,0)</f>
        <v>0</v>
      </c>
      <c r="V83" s="761"/>
      <c r="Y83" s="178"/>
      <c r="Z83" s="179"/>
      <c r="AA83" s="175">
        <f t="shared" si="2"/>
        <v>0</v>
      </c>
      <c r="AB83" s="176">
        <f t="shared" si="3"/>
        <v>0</v>
      </c>
      <c r="AC83" s="177">
        <f t="shared" si="6"/>
        <v>0</v>
      </c>
      <c r="AD83" s="176">
        <f t="shared" si="7"/>
        <v>0</v>
      </c>
    </row>
    <row r="84" spans="1:30" ht="19.2" customHeight="1" x14ac:dyDescent="0.7">
      <c r="A84" s="387"/>
      <c r="B84" s="265"/>
      <c r="C84" s="716"/>
      <c r="D84" s="718"/>
      <c r="E84" s="264"/>
      <c r="F84" s="264"/>
      <c r="G84" s="264"/>
      <c r="H84" s="264"/>
      <c r="I84" s="264"/>
      <c r="J84" s="267"/>
      <c r="K84" s="267"/>
      <c r="L84" s="107">
        <f>IF(AND($H84="1st",$E84="Novice"),'Point Schedule'!$C$4,IF(AND($H84="2nd",$E84="Novice"),'Point Schedule'!$C$5,IF(AND($H84="3rd",$E84="Novice"),'Point Schedule'!$C$6,IF(AND($H84="4th",$E84="Novice"),'Point Schedule'!$C$7,0))))</f>
        <v>0</v>
      </c>
      <c r="M84" s="102">
        <f>IF(AND($H84="1st",$E84="Open"),'Point Schedule'!$E$4,IF(AND($H84="2nd",$E84="Open"),'Point Schedule'!$E$5,IF(AND($H84="3rd",$E84="Open"),'Point Schedule'!$E$6,IF(AND($H84="4th",$E84="Open"),'Point Schedule'!$E$7,0))))</f>
        <v>0</v>
      </c>
      <c r="N84" s="107">
        <f>IF(AND($H84="1st",$E84="Excellent"),'Point Schedule'!$G$4,IF(AND($H84="2nd",$E84="Excellent"),'Point Schedule'!$G$5,IF(AND($H84="3rd",$E84="Excellent"),'Point Schedule'!$G$6,IF(AND($H84="4th",$E84="Excellent"),'Point Schedule'!$G$7,0))))</f>
        <v>0</v>
      </c>
      <c r="O84" s="107">
        <f>IF(AND($H84="1st",$E84="Masters"),'Point Schedule'!$I$4,IF(AND($H84="2nd",$E84="Masters"),'Point Schedule'!$I$5,IF(AND($H84="3rd",$E84="Masters"),'Point Schedule'!$I$6,IF(AND($H84="4th",$E84="Masters"),'Point Schedule'!$I$7,0))))</f>
        <v>0</v>
      </c>
      <c r="P84" s="102">
        <f>IF(AND($H84="1st",$E84="Premier"),'Point Schedule'!$H$4,IF(AND($H84="2nd",$E84="Premier"),'Point Schedule'!$H$5,IF(AND($H84="3rd",$E84="Premier"),'Point Schedule'!$H$6,IF(AND($H84="4th",$E84="Premier"),'Point Schedule'!$H$7,0))))</f>
        <v>0</v>
      </c>
      <c r="Q84" s="102">
        <f>IF(AND(E84="Novice",G84="Yes"),'Point Schedule'!$C$9,IF(AND(E84="Open",G84="Yes"),'Point Schedule'!$E$9,IF(AND(E84="T2B",G84="Yes"),'Point Schedule'!$E$9,IF(AND(E84="Excellent",G84="Yes"),'Point Schedule'!$G$9,IF(AND(E84="Masters",G84="YES"),'Point Schedule'!$I$9,IF(AND(E84="Premier",G84="YES"),'Point Schedule'!$H$9,0))))))</f>
        <v>0</v>
      </c>
      <c r="R84" s="105">
        <f>IF(I84="Yes",'Point Schedule'!$C$12,0)</f>
        <v>0</v>
      </c>
      <c r="S84" s="104">
        <f>IF(J84="Yes",'Point Schedule'!$C$13,0)</f>
        <v>0</v>
      </c>
      <c r="T84" s="104">
        <f>IF(K84="Yes",'Point Schedule'!$C$14,0)</f>
        <v>0</v>
      </c>
      <c r="U84" s="93">
        <f>IF(AND(B84=B132,NOT($B84=0),NOT(F84=F132)),'Point Schedule'!$C$11,0)</f>
        <v>0</v>
      </c>
      <c r="V84" s="761"/>
      <c r="Y84" s="178"/>
      <c r="Z84" s="179"/>
      <c r="AA84" s="175">
        <f t="shared" si="2"/>
        <v>0</v>
      </c>
      <c r="AB84" s="176">
        <f t="shared" si="3"/>
        <v>0</v>
      </c>
      <c r="AC84" s="177">
        <f t="shared" si="6"/>
        <v>0</v>
      </c>
      <c r="AD84" s="176">
        <f t="shared" si="7"/>
        <v>0</v>
      </c>
    </row>
    <row r="85" spans="1:30" ht="20.149999999999999" customHeight="1" x14ac:dyDescent="0.7">
      <c r="A85" s="387"/>
      <c r="B85" s="265"/>
      <c r="C85" s="716"/>
      <c r="D85" s="718"/>
      <c r="E85" s="264"/>
      <c r="F85" s="264"/>
      <c r="G85" s="264"/>
      <c r="H85" s="264"/>
      <c r="I85" s="264"/>
      <c r="J85" s="267"/>
      <c r="K85" s="267"/>
      <c r="L85" s="107">
        <f>IF(AND($H85="1st",$E85="Novice"),'Point Schedule'!$C$4,IF(AND($H85="2nd",$E85="Novice"),'Point Schedule'!$C$5,IF(AND($H85="3rd",$E85="Novice"),'Point Schedule'!$C$6,IF(AND($H85="4th",$E85="Novice"),'Point Schedule'!$C$7,0))))</f>
        <v>0</v>
      </c>
      <c r="M85" s="102">
        <f>IF(AND($H85="1st",$E85="Open"),'Point Schedule'!$E$4,IF(AND($H85="2nd",$E85="Open"),'Point Schedule'!$E$5,IF(AND($H85="3rd",$E85="Open"),'Point Schedule'!$E$6,IF(AND($H85="4th",$E85="Open"),'Point Schedule'!$E$7,0))))</f>
        <v>0</v>
      </c>
      <c r="N85" s="107">
        <f>IF(AND($H85="1st",$E85="Excellent"),'Point Schedule'!$G$4,IF(AND($H85="2nd",$E85="Excellent"),'Point Schedule'!$G$5,IF(AND($H85="3rd",$E85="Excellent"),'Point Schedule'!$G$6,IF(AND($H85="4th",$E85="Excellent"),'Point Schedule'!$G$7,0))))</f>
        <v>0</v>
      </c>
      <c r="O85" s="107">
        <f>IF(AND($H85="1st",$E85="Masters"),'Point Schedule'!$I$4,IF(AND($H85="2nd",$E85="Masters"),'Point Schedule'!$I$5,IF(AND($H85="3rd",$E85="Masters"),'Point Schedule'!$I$6,IF(AND($H85="4th",$E85="Masters"),'Point Schedule'!$I$7,0))))</f>
        <v>0</v>
      </c>
      <c r="P85" s="102">
        <f>IF(AND($H85="1st",$E85="Premier"),'Point Schedule'!$H$4,IF(AND($H85="2nd",$E85="Premier"),'Point Schedule'!$H$5,IF(AND($H85="3rd",$E85="Premier"),'Point Schedule'!$H$6,IF(AND($H85="4th",$E85="Premier"),'Point Schedule'!$H$7,0))))</f>
        <v>0</v>
      </c>
      <c r="Q85" s="102">
        <f>IF(AND(E85="Novice",G85="Yes"),'Point Schedule'!$C$9,IF(AND(E85="Open",G85="Yes"),'Point Schedule'!$E$9,IF(AND(E85="T2B",G85="Yes"),'Point Schedule'!$E$9,IF(AND(E85="Excellent",G85="Yes"),'Point Schedule'!$G$9,IF(AND(E85="Masters",G85="YES"),'Point Schedule'!$I$9,IF(AND(E85="Premier",G85="YES"),'Point Schedule'!$H$9,0))))))</f>
        <v>0</v>
      </c>
      <c r="R85" s="105">
        <f>IF(I85="Yes",'Point Schedule'!$C$12,0)</f>
        <v>0</v>
      </c>
      <c r="S85" s="104">
        <f>IF(J85="Yes",'Point Schedule'!$C$13,0)</f>
        <v>0</v>
      </c>
      <c r="T85" s="104">
        <f>IF(K85="Yes",'Point Schedule'!$C$14,0)</f>
        <v>0</v>
      </c>
      <c r="U85" s="93">
        <f>IF(AND(B85=B133,NOT($B85=0),NOT(F85=F133)),'Point Schedule'!$C$11,0)</f>
        <v>0</v>
      </c>
      <c r="V85" s="761"/>
      <c r="Y85" s="178"/>
      <c r="Z85" s="179"/>
      <c r="AA85" s="175">
        <f t="shared" si="2"/>
        <v>0</v>
      </c>
      <c r="AB85" s="176">
        <f t="shared" si="3"/>
        <v>0</v>
      </c>
      <c r="AC85" s="177">
        <f t="shared" si="6"/>
        <v>0</v>
      </c>
      <c r="AD85" s="176">
        <f t="shared" si="7"/>
        <v>0</v>
      </c>
    </row>
    <row r="86" spans="1:30" ht="20.149999999999999" customHeight="1" x14ac:dyDescent="0.7">
      <c r="A86" s="387"/>
      <c r="B86" s="265"/>
      <c r="C86" s="716"/>
      <c r="D86" s="718"/>
      <c r="E86" s="264"/>
      <c r="F86" s="264"/>
      <c r="G86" s="264"/>
      <c r="H86" s="264"/>
      <c r="I86" s="264"/>
      <c r="J86" s="267"/>
      <c r="K86" s="267"/>
      <c r="L86" s="107">
        <f>IF(AND($H86="1st",$E86="Novice"),'Point Schedule'!$C$4,IF(AND($H86="2nd",$E86="Novice"),'Point Schedule'!$C$5,IF(AND($H86="3rd",$E86="Novice"),'Point Schedule'!$C$6,IF(AND($H86="4th",$E86="Novice"),'Point Schedule'!$C$7,0))))</f>
        <v>0</v>
      </c>
      <c r="M86" s="102">
        <f>IF(AND($H86="1st",$E86="Open"),'Point Schedule'!$E$4,IF(AND($H86="2nd",$E86="Open"),'Point Schedule'!$E$5,IF(AND($H86="3rd",$E86="Open"),'Point Schedule'!$E$6,IF(AND($H86="4th",$E86="Open"),'Point Schedule'!$E$7,0))))</f>
        <v>0</v>
      </c>
      <c r="N86" s="107">
        <f>IF(AND($H86="1st",$E86="Excellent"),'Point Schedule'!$G$4,IF(AND($H86="2nd",$E86="Excellent"),'Point Schedule'!$G$5,IF(AND($H86="3rd",$E86="Excellent"),'Point Schedule'!$G$6,IF(AND($H86="4th",$E86="Excellent"),'Point Schedule'!$G$7,0))))</f>
        <v>0</v>
      </c>
      <c r="O86" s="107">
        <f>IF(AND($H86="1st",$E86="Masters"),'Point Schedule'!$I$4,IF(AND($H86="2nd",$E86="Masters"),'Point Schedule'!$I$5,IF(AND($H86="3rd",$E86="Masters"),'Point Schedule'!$I$6,IF(AND($H86="4th",$E86="Masters"),'Point Schedule'!$I$7,0))))</f>
        <v>0</v>
      </c>
      <c r="P86" s="102">
        <f>IF(AND($H86="1st",$E86="Premier"),'Point Schedule'!$H$4,IF(AND($H86="2nd",$E86="Premier"),'Point Schedule'!$H$5,IF(AND($H86="3rd",$E86="Premier"),'Point Schedule'!$H$6,IF(AND($H86="4th",$E86="Premier"),'Point Schedule'!$H$7,0))))</f>
        <v>0</v>
      </c>
      <c r="Q86" s="102">
        <f>IF(AND(E86="Novice",G86="Yes"),'Point Schedule'!$C$9,IF(AND(E86="Open",G86="Yes"),'Point Schedule'!$E$9,IF(AND(E86="T2B",G86="Yes"),'Point Schedule'!$E$9,IF(AND(E86="Excellent",G86="Yes"),'Point Schedule'!$G$9,IF(AND(E86="Masters",G86="YES"),'Point Schedule'!$I$9,IF(AND(E86="Premier",G86="YES"),'Point Schedule'!$H$9,0))))))</f>
        <v>0</v>
      </c>
      <c r="R86" s="105">
        <f>IF(I86="Yes",'Point Schedule'!$C$12,0)</f>
        <v>0</v>
      </c>
      <c r="S86" s="104">
        <f>IF(J86="Yes",'Point Schedule'!$C$13,0)</f>
        <v>0</v>
      </c>
      <c r="T86" s="104">
        <f>IF(K86="Yes",'Point Schedule'!$C$14,0)</f>
        <v>0</v>
      </c>
      <c r="U86" s="93">
        <f>IF(AND(B86=B134,NOT($B86=0),NOT(F86=F134)),'Point Schedule'!$C$11,0)</f>
        <v>0</v>
      </c>
      <c r="V86" s="761"/>
      <c r="Y86" s="178"/>
      <c r="Z86" s="179"/>
      <c r="AA86" s="175">
        <f t="shared" si="2"/>
        <v>0</v>
      </c>
      <c r="AB86" s="176">
        <f t="shared" si="3"/>
        <v>0</v>
      </c>
      <c r="AC86" s="177">
        <f t="shared" si="6"/>
        <v>0</v>
      </c>
      <c r="AD86" s="176">
        <f t="shared" si="7"/>
        <v>0</v>
      </c>
    </row>
    <row r="87" spans="1:30" ht="20.149999999999999" customHeight="1" x14ac:dyDescent="0.7">
      <c r="A87" s="387"/>
      <c r="B87" s="265"/>
      <c r="C87" s="716"/>
      <c r="D87" s="718"/>
      <c r="E87" s="264"/>
      <c r="F87" s="264"/>
      <c r="G87" s="264"/>
      <c r="H87" s="264"/>
      <c r="I87" s="264"/>
      <c r="J87" s="267"/>
      <c r="K87" s="267"/>
      <c r="L87" s="107">
        <f>IF(AND($H87="1st",$E87="Novice"),'Point Schedule'!$C$4,IF(AND($H87="2nd",$E87="Novice"),'Point Schedule'!$C$5,IF(AND($H87="3rd",$E87="Novice"),'Point Schedule'!$C$6,IF(AND($H87="4th",$E87="Novice"),'Point Schedule'!$C$7,0))))</f>
        <v>0</v>
      </c>
      <c r="M87" s="102">
        <f>IF(AND($H87="1st",$E87="Open"),'Point Schedule'!$E$4,IF(AND($H87="2nd",$E87="Open"),'Point Schedule'!$E$5,IF(AND($H87="3rd",$E87="Open"),'Point Schedule'!$E$6,IF(AND($H87="4th",$E87="Open"),'Point Schedule'!$E$7,0))))</f>
        <v>0</v>
      </c>
      <c r="N87" s="107">
        <f>IF(AND($H87="1st",$E87="Excellent"),'Point Schedule'!$G$4,IF(AND($H87="2nd",$E87="Excellent"),'Point Schedule'!$G$5,IF(AND($H87="3rd",$E87="Excellent"),'Point Schedule'!$G$6,IF(AND($H87="4th",$E87="Excellent"),'Point Schedule'!$G$7,0))))</f>
        <v>0</v>
      </c>
      <c r="O87" s="107">
        <f>IF(AND($H87="1st",$E87="Masters"),'Point Schedule'!$I$4,IF(AND($H87="2nd",$E87="Masters"),'Point Schedule'!$I$5,IF(AND($H87="3rd",$E87="Masters"),'Point Schedule'!$I$6,IF(AND($H87="4th",$E87="Masters"),'Point Schedule'!$I$7,0))))</f>
        <v>0</v>
      </c>
      <c r="P87" s="102">
        <f>IF(AND($H87="1st",$E87="Premier"),'Point Schedule'!$H$4,IF(AND($H87="2nd",$E87="Premier"),'Point Schedule'!$H$5,IF(AND($H87="3rd",$E87="Premier"),'Point Schedule'!$H$6,IF(AND($H87="4th",$E87="Premier"),'Point Schedule'!$H$7,0))))</f>
        <v>0</v>
      </c>
      <c r="Q87" s="102">
        <f>IF(AND(E87="Novice",G87="Yes"),'Point Schedule'!$C$9,IF(AND(E87="Open",G87="Yes"),'Point Schedule'!$E$9,IF(AND(E87="T2B",G87="Yes"),'Point Schedule'!$E$9,IF(AND(E87="Excellent",G87="Yes"),'Point Schedule'!$G$9,IF(AND(E87="Masters",G87="YES"),'Point Schedule'!$I$9,IF(AND(E87="Premier",G87="YES"),'Point Schedule'!$H$9,0))))))</f>
        <v>0</v>
      </c>
      <c r="R87" s="105">
        <f>IF(I87="Yes",'Point Schedule'!$C$12,0)</f>
        <v>0</v>
      </c>
      <c r="S87" s="104">
        <f>IF(J87="Yes",'Point Schedule'!$C$13,0)</f>
        <v>0</v>
      </c>
      <c r="T87" s="104">
        <f>IF(K87="Yes",'Point Schedule'!$C$14,0)</f>
        <v>0</v>
      </c>
      <c r="U87" s="93">
        <f>IF(AND(B87=B135,NOT($B87=0),NOT(F87=F135)),'Point Schedule'!$C$11,0)</f>
        <v>0</v>
      </c>
      <c r="V87" s="761"/>
      <c r="Y87" s="178"/>
      <c r="Z87" s="179"/>
      <c r="AA87" s="175">
        <f t="shared" si="2"/>
        <v>0</v>
      </c>
      <c r="AB87" s="176">
        <f t="shared" si="3"/>
        <v>0</v>
      </c>
      <c r="AC87" s="177">
        <f t="shared" si="6"/>
        <v>0</v>
      </c>
      <c r="AD87" s="176">
        <f t="shared" si="7"/>
        <v>0</v>
      </c>
    </row>
    <row r="88" spans="1:30" ht="20.149999999999999" customHeight="1" x14ac:dyDescent="0.7">
      <c r="A88" s="387"/>
      <c r="B88" s="265"/>
      <c r="C88" s="716"/>
      <c r="D88" s="718"/>
      <c r="E88" s="264"/>
      <c r="F88" s="264"/>
      <c r="G88" s="264"/>
      <c r="H88" s="264"/>
      <c r="I88" s="264"/>
      <c r="J88" s="267"/>
      <c r="K88" s="267"/>
      <c r="L88" s="107">
        <f>IF(AND($H88="1st",$E88="Novice"),'Point Schedule'!$C$4,IF(AND($H88="2nd",$E88="Novice"),'Point Schedule'!$C$5,IF(AND($H88="3rd",$E88="Novice"),'Point Schedule'!$C$6,IF(AND($H88="4th",$E88="Novice"),'Point Schedule'!$C$7,0))))</f>
        <v>0</v>
      </c>
      <c r="M88" s="102">
        <f>IF(AND($H88="1st",$E88="Open"),'Point Schedule'!$E$4,IF(AND($H88="2nd",$E88="Open"),'Point Schedule'!$E$5,IF(AND($H88="3rd",$E88="Open"),'Point Schedule'!$E$6,IF(AND($H88="4th",$E88="Open"),'Point Schedule'!$E$7,0))))</f>
        <v>0</v>
      </c>
      <c r="N88" s="107">
        <f>IF(AND($H88="1st",$E88="Excellent"),'Point Schedule'!$G$4,IF(AND($H88="2nd",$E88="Excellent"),'Point Schedule'!$G$5,IF(AND($H88="3rd",$E88="Excellent"),'Point Schedule'!$G$6,IF(AND($H88="4th",$E88="Excellent"),'Point Schedule'!$G$7,0))))</f>
        <v>0</v>
      </c>
      <c r="O88" s="107">
        <f>IF(AND($H88="1st",$E88="Masters"),'Point Schedule'!$I$4,IF(AND($H88="2nd",$E88="Masters"),'Point Schedule'!$I$5,IF(AND($H88="3rd",$E88="Masters"),'Point Schedule'!$I$6,IF(AND($H88="4th",$E88="Masters"),'Point Schedule'!$I$7,0))))</f>
        <v>0</v>
      </c>
      <c r="P88" s="102">
        <f>IF(AND($H88="1st",$E88="Premier"),'Point Schedule'!$H$4,IF(AND($H88="2nd",$E88="Premier"),'Point Schedule'!$H$5,IF(AND($H88="3rd",$E88="Premier"),'Point Schedule'!$H$6,IF(AND($H88="4th",$E88="Premier"),'Point Schedule'!$H$7,0))))</f>
        <v>0</v>
      </c>
      <c r="Q88" s="102">
        <f>IF(AND(E88="Novice",G88="Yes"),'Point Schedule'!$C$9,IF(AND(E88="Open",G88="Yes"),'Point Schedule'!$E$9,IF(AND(E88="T2B",G88="Yes"),'Point Schedule'!$E$9,IF(AND(E88="Excellent",G88="Yes"),'Point Schedule'!$G$9,IF(AND(E88="Masters",G88="YES"),'Point Schedule'!$I$9,IF(AND(E88="Premier",G88="YES"),'Point Schedule'!$H$9,0))))))</f>
        <v>0</v>
      </c>
      <c r="R88" s="105">
        <f>IF(I88="Yes",'Point Schedule'!$C$12,0)</f>
        <v>0</v>
      </c>
      <c r="S88" s="104">
        <f>IF(J88="Yes",'Point Schedule'!$C$13,0)</f>
        <v>0</v>
      </c>
      <c r="T88" s="104">
        <f>IF(K88="Yes",'Point Schedule'!$C$14,0)</f>
        <v>0</v>
      </c>
      <c r="U88" s="93">
        <f>IF(AND(B88=B136,NOT($B88=0),NOT(F88=F136)),'Point Schedule'!$C$11,0)</f>
        <v>0</v>
      </c>
      <c r="V88" s="761"/>
      <c r="Y88" s="178"/>
      <c r="Z88" s="179"/>
      <c r="AA88" s="175">
        <f t="shared" si="2"/>
        <v>0</v>
      </c>
      <c r="AB88" s="176">
        <f t="shared" si="3"/>
        <v>0</v>
      </c>
      <c r="AC88" s="177">
        <f t="shared" si="6"/>
        <v>0</v>
      </c>
      <c r="AD88" s="176">
        <f t="shared" si="7"/>
        <v>0</v>
      </c>
    </row>
    <row r="89" spans="1:30" ht="20.149999999999999" customHeight="1" x14ac:dyDescent="0.7">
      <c r="A89" s="387"/>
      <c r="B89" s="265"/>
      <c r="C89" s="716"/>
      <c r="D89" s="718"/>
      <c r="E89" s="264"/>
      <c r="F89" s="264"/>
      <c r="G89" s="264"/>
      <c r="H89" s="264"/>
      <c r="I89" s="264"/>
      <c r="J89" s="267"/>
      <c r="K89" s="267"/>
      <c r="L89" s="107">
        <f>IF(AND($H89="1st",$E89="Novice"),'Point Schedule'!$C$4,IF(AND($H89="2nd",$E89="Novice"),'Point Schedule'!$C$5,IF(AND($H89="3rd",$E89="Novice"),'Point Schedule'!$C$6,IF(AND($H89="4th",$E89="Novice"),'Point Schedule'!$C$7,0))))</f>
        <v>0</v>
      </c>
      <c r="M89" s="102">
        <f>IF(AND($H89="1st",$E89="Open"),'Point Schedule'!$E$4,IF(AND($H89="2nd",$E89="Open"),'Point Schedule'!$E$5,IF(AND($H89="3rd",$E89="Open"),'Point Schedule'!$E$6,IF(AND($H89="4th",$E89="Open"),'Point Schedule'!$E$7,0))))</f>
        <v>0</v>
      </c>
      <c r="N89" s="107">
        <f>IF(AND($H89="1st",$E89="Excellent"),'Point Schedule'!$G$4,IF(AND($H89="2nd",$E89="Excellent"),'Point Schedule'!$G$5,IF(AND($H89="3rd",$E89="Excellent"),'Point Schedule'!$G$6,IF(AND($H89="4th",$E89="Excellent"),'Point Schedule'!$G$7,0))))</f>
        <v>0</v>
      </c>
      <c r="O89" s="107">
        <f>IF(AND($H89="1st",$E89="Masters"),'Point Schedule'!$I$4,IF(AND($H89="2nd",$E89="Masters"),'Point Schedule'!$I$5,IF(AND($H89="3rd",$E89="Masters"),'Point Schedule'!$I$6,IF(AND($H89="4th",$E89="Masters"),'Point Schedule'!$I$7,0))))</f>
        <v>0</v>
      </c>
      <c r="P89" s="102">
        <f>IF(AND($H89="1st",$E89="Premier"),'Point Schedule'!$H$4,IF(AND($H89="2nd",$E89="Premier"),'Point Schedule'!$H$5,IF(AND($H89="3rd",$E89="Premier"),'Point Schedule'!$H$6,IF(AND($H89="4th",$E89="Premier"),'Point Schedule'!$H$7,0))))</f>
        <v>0</v>
      </c>
      <c r="Q89" s="102">
        <f>IF(AND(E89="Novice",G89="Yes"),'Point Schedule'!$C$9,IF(AND(E89="Open",G89="Yes"),'Point Schedule'!$E$9,IF(AND(E89="T2B",G89="Yes"),'Point Schedule'!$E$9,IF(AND(E89="Excellent",G89="Yes"),'Point Schedule'!$G$9,IF(AND(E89="Masters",G89="YES"),'Point Schedule'!$I$9,IF(AND(E89="Premier",G89="YES"),'Point Schedule'!$H$9,0))))))</f>
        <v>0</v>
      </c>
      <c r="R89" s="105">
        <f>IF(I89="Yes",'Point Schedule'!$C$12,0)</f>
        <v>0</v>
      </c>
      <c r="S89" s="104">
        <f>IF(J89="Yes",'Point Schedule'!$C$13,0)</f>
        <v>0</v>
      </c>
      <c r="T89" s="104">
        <f>IF(K89="Yes",'Point Schedule'!$C$14,0)</f>
        <v>0</v>
      </c>
      <c r="U89" s="93">
        <f>IF(AND(B89=B137,NOT($B89=0),NOT(F89=F137)),'Point Schedule'!$C$11,0)</f>
        <v>0</v>
      </c>
      <c r="V89" s="761"/>
      <c r="Y89" s="178"/>
      <c r="Z89" s="179"/>
      <c r="AA89" s="175">
        <f t="shared" si="2"/>
        <v>0</v>
      </c>
      <c r="AB89" s="176">
        <f t="shared" si="3"/>
        <v>0</v>
      </c>
      <c r="AC89" s="177">
        <f t="shared" si="6"/>
        <v>0</v>
      </c>
      <c r="AD89" s="176">
        <f t="shared" si="7"/>
        <v>0</v>
      </c>
    </row>
    <row r="90" spans="1:30" ht="20.149999999999999" customHeight="1" x14ac:dyDescent="0.7">
      <c r="A90" s="387"/>
      <c r="B90" s="265"/>
      <c r="C90" s="716"/>
      <c r="D90" s="718"/>
      <c r="E90" s="264"/>
      <c r="F90" s="264"/>
      <c r="G90" s="264"/>
      <c r="H90" s="264"/>
      <c r="I90" s="264"/>
      <c r="J90" s="267"/>
      <c r="K90" s="267"/>
      <c r="L90" s="107">
        <f>IF(AND($H90="1st",$E90="Novice"),'Point Schedule'!$C$4,IF(AND($H90="2nd",$E90="Novice"),'Point Schedule'!$C$5,IF(AND($H90="3rd",$E90="Novice"),'Point Schedule'!$C$6,IF(AND($H90="4th",$E90="Novice"),'Point Schedule'!$C$7,0))))</f>
        <v>0</v>
      </c>
      <c r="M90" s="102">
        <f>IF(AND($H90="1st",$E90="Open"),'Point Schedule'!$E$4,IF(AND($H90="2nd",$E90="Open"),'Point Schedule'!$E$5,IF(AND($H90="3rd",$E90="Open"),'Point Schedule'!$E$6,IF(AND($H90="4th",$E90="Open"),'Point Schedule'!$E$7,0))))</f>
        <v>0</v>
      </c>
      <c r="N90" s="107">
        <f>IF(AND($H90="1st",$E90="Excellent"),'Point Schedule'!$G$4,IF(AND($H90="2nd",$E90="Excellent"),'Point Schedule'!$G$5,IF(AND($H90="3rd",$E90="Excellent"),'Point Schedule'!$G$6,IF(AND($H90="4th",$E90="Excellent"),'Point Schedule'!$G$7,0))))</f>
        <v>0</v>
      </c>
      <c r="O90" s="107">
        <f>IF(AND($H90="1st",$E90="Masters"),'Point Schedule'!$I$4,IF(AND($H90="2nd",$E90="Masters"),'Point Schedule'!$I$5,IF(AND($H90="3rd",$E90="Masters"),'Point Schedule'!$I$6,IF(AND($H90="4th",$E90="Masters"),'Point Schedule'!$I$7,0))))</f>
        <v>0</v>
      </c>
      <c r="P90" s="102">
        <f>IF(AND($H90="1st",$E90="Premier"),'Point Schedule'!$H$4,IF(AND($H90="2nd",$E90="Premier"),'Point Schedule'!$H$5,IF(AND($H90="3rd",$E90="Premier"),'Point Schedule'!$H$6,IF(AND($H90="4th",$E90="Premier"),'Point Schedule'!$H$7,0))))</f>
        <v>0</v>
      </c>
      <c r="Q90" s="102">
        <f>IF(AND(E90="Novice",G90="Yes"),'Point Schedule'!$C$9,IF(AND(E90="Open",G90="Yes"),'Point Schedule'!$E$9,IF(AND(E90="T2B",G90="Yes"),'Point Schedule'!$E$9,IF(AND(E90="Excellent",G90="Yes"),'Point Schedule'!$G$9,IF(AND(E90="Masters",G90="YES"),'Point Schedule'!$I$9,IF(AND(E90="Premier",G90="YES"),'Point Schedule'!$H$9,0))))))</f>
        <v>0</v>
      </c>
      <c r="R90" s="105">
        <f>IF(I90="Yes",'Point Schedule'!$C$12,0)</f>
        <v>0</v>
      </c>
      <c r="S90" s="104">
        <f>IF(J90="Yes",'Point Schedule'!$C$13,0)</f>
        <v>0</v>
      </c>
      <c r="T90" s="104">
        <f>IF(K90="Yes",'Point Schedule'!$C$14,0)</f>
        <v>0</v>
      </c>
      <c r="U90" s="93">
        <f>IF(AND(B90=B138,NOT($B90=0),NOT(F90=F138)),'Point Schedule'!$C$11,0)</f>
        <v>0</v>
      </c>
      <c r="V90" s="761"/>
      <c r="Y90" s="178"/>
      <c r="Z90" s="179"/>
      <c r="AA90" s="175">
        <f t="shared" si="2"/>
        <v>0</v>
      </c>
      <c r="AB90" s="176">
        <f t="shared" si="3"/>
        <v>0</v>
      </c>
      <c r="AC90" s="177">
        <f t="shared" si="6"/>
        <v>0</v>
      </c>
      <c r="AD90" s="176">
        <f t="shared" si="7"/>
        <v>0</v>
      </c>
    </row>
    <row r="91" spans="1:30" ht="20.149999999999999" customHeight="1" x14ac:dyDescent="0.7">
      <c r="A91" s="387"/>
      <c r="B91" s="265"/>
      <c r="C91" s="716"/>
      <c r="D91" s="718"/>
      <c r="E91" s="264"/>
      <c r="F91" s="264"/>
      <c r="G91" s="264"/>
      <c r="H91" s="264"/>
      <c r="I91" s="264"/>
      <c r="J91" s="267"/>
      <c r="K91" s="267"/>
      <c r="L91" s="107">
        <f>IF(AND($H91="1st",$E91="Novice"),'Point Schedule'!$C$4,IF(AND($H91="2nd",$E91="Novice"),'Point Schedule'!$C$5,IF(AND($H91="3rd",$E91="Novice"),'Point Schedule'!$C$6,IF(AND($H91="4th",$E91="Novice"),'Point Schedule'!$C$7,0))))</f>
        <v>0</v>
      </c>
      <c r="M91" s="102">
        <f>IF(AND($H91="1st",$E91="Open"),'Point Schedule'!$E$4,IF(AND($H91="2nd",$E91="Open"),'Point Schedule'!$E$5,IF(AND($H91="3rd",$E91="Open"),'Point Schedule'!$E$6,IF(AND($H91="4th",$E91="Open"),'Point Schedule'!$E$7,0))))</f>
        <v>0</v>
      </c>
      <c r="N91" s="107">
        <f>IF(AND($H91="1st",$E91="Excellent"),'Point Schedule'!$G$4,IF(AND($H91="2nd",$E91="Excellent"),'Point Schedule'!$G$5,IF(AND($H91="3rd",$E91="Excellent"),'Point Schedule'!$G$6,IF(AND($H91="4th",$E91="Excellent"),'Point Schedule'!$G$7,0))))</f>
        <v>0</v>
      </c>
      <c r="O91" s="107">
        <f>IF(AND($H91="1st",$E91="Masters"),'Point Schedule'!$I$4,IF(AND($H91="2nd",$E91="Masters"),'Point Schedule'!$I$5,IF(AND($H91="3rd",$E91="Masters"),'Point Schedule'!$I$6,IF(AND($H91="4th",$E91="Masters"),'Point Schedule'!$I$7,0))))</f>
        <v>0</v>
      </c>
      <c r="P91" s="102">
        <f>IF(AND($H91="1st",$E91="Premier"),'Point Schedule'!$H$4,IF(AND($H91="2nd",$E91="Premier"),'Point Schedule'!$H$5,IF(AND($H91="3rd",$E91="Premier"),'Point Schedule'!$H$6,IF(AND($H91="4th",$E91="Premier"),'Point Schedule'!$H$7,0))))</f>
        <v>0</v>
      </c>
      <c r="Q91" s="102">
        <f>IF(AND(E91="Novice",G91="Yes"),'Point Schedule'!$C$9,IF(AND(E91="Open",G91="Yes"),'Point Schedule'!$E$9,IF(AND(E91="T2B",G91="Yes"),'Point Schedule'!$E$9,IF(AND(E91="Excellent",G91="Yes"),'Point Schedule'!$G$9,IF(AND(E91="Masters",G91="YES"),'Point Schedule'!$I$9,IF(AND(E91="Premier",G91="YES"),'Point Schedule'!$H$9,0))))))</f>
        <v>0</v>
      </c>
      <c r="R91" s="105">
        <f>IF(I91="Yes",'Point Schedule'!$C$12,0)</f>
        <v>0</v>
      </c>
      <c r="S91" s="104">
        <f>IF(J91="Yes",'Point Schedule'!$C$13,0)</f>
        <v>0</v>
      </c>
      <c r="T91" s="104">
        <f>IF(K91="Yes",'Point Schedule'!$C$14,0)</f>
        <v>0</v>
      </c>
      <c r="U91" s="93">
        <f>IF(AND(B91=B139,NOT($B91=0),NOT(F91=F139)),'Point Schedule'!$C$11,0)</f>
        <v>0</v>
      </c>
      <c r="V91" s="761"/>
      <c r="Y91" s="178"/>
      <c r="Z91" s="179"/>
      <c r="AA91" s="175">
        <f t="shared" si="2"/>
        <v>0</v>
      </c>
      <c r="AB91" s="176">
        <f t="shared" si="3"/>
        <v>0</v>
      </c>
      <c r="AC91" s="177">
        <f t="shared" si="6"/>
        <v>0</v>
      </c>
      <c r="AD91" s="176">
        <f t="shared" si="7"/>
        <v>0</v>
      </c>
    </row>
    <row r="92" spans="1:30" ht="20.149999999999999" customHeight="1" x14ac:dyDescent="0.7">
      <c r="A92" s="387"/>
      <c r="B92" s="265"/>
      <c r="C92" s="716"/>
      <c r="D92" s="718"/>
      <c r="E92" s="291"/>
      <c r="F92" s="291"/>
      <c r="G92" s="291"/>
      <c r="H92" s="291"/>
      <c r="I92" s="291"/>
      <c r="J92" s="292"/>
      <c r="K92" s="292"/>
      <c r="L92" s="107">
        <f>IF(AND($H92="1st",$E92="Novice"),'Point Schedule'!$C$4,IF(AND($H92="2nd",$E92="Novice"),'Point Schedule'!$C$5,IF(AND($H92="3rd",$E92="Novice"),'Point Schedule'!$C$6,IF(AND($H92="4th",$E92="Novice"),'Point Schedule'!$C$7,0))))</f>
        <v>0</v>
      </c>
      <c r="M92" s="102">
        <f>IF(AND($H92="1st",$E92="Open"),'Point Schedule'!$E$4,IF(AND($H92="2nd",$E92="Open"),'Point Schedule'!$E$5,IF(AND($H92="3rd",$E92="Open"),'Point Schedule'!$E$6,IF(AND($H92="4th",$E92="Open"),'Point Schedule'!$E$7,0))))</f>
        <v>0</v>
      </c>
      <c r="N92" s="107">
        <f>IF(AND($H92="1st",$E92="Excellent"),'Point Schedule'!$G$4,IF(AND($H92="2nd",$E92="Excellent"),'Point Schedule'!$G$5,IF(AND($H92="3rd",$E92="Excellent"),'Point Schedule'!$G$6,IF(AND($H92="4th",$E92="Excellent"),'Point Schedule'!$G$7,0))))</f>
        <v>0</v>
      </c>
      <c r="O92" s="107">
        <f>IF(AND($H92="1st",$E92="Masters"),'Point Schedule'!$I$4,IF(AND($H92="2nd",$E92="Masters"),'Point Schedule'!$I$5,IF(AND($H92="3rd",$E92="Masters"),'Point Schedule'!$I$6,IF(AND($H92="4th",$E92="Masters"),'Point Schedule'!$I$7,0))))</f>
        <v>0</v>
      </c>
      <c r="P92" s="102">
        <f>IF(AND($H92="1st",$E92="Premier"),'Point Schedule'!$H$4,IF(AND($H92="2nd",$E92="Premier"),'Point Schedule'!$H$5,IF(AND($H92="3rd",$E92="Premier"),'Point Schedule'!$H$6,IF(AND($H92="4th",$E92="Premier"),'Point Schedule'!$H$7,0))))</f>
        <v>0</v>
      </c>
      <c r="Q92" s="102">
        <f>IF(AND(E92="Novice",G92="Yes"),'Point Schedule'!$C$9,IF(AND(E92="Open",G92="Yes"),'Point Schedule'!$E$9,IF(AND(E92="T2B",G92="Yes"),'Point Schedule'!$E$9,IF(AND(E92="Excellent",G92="Yes"),'Point Schedule'!$G$9,IF(AND(E92="Masters",G92="YES"),'Point Schedule'!$I$9,IF(AND(E92="Premier",G92="YES"),'Point Schedule'!$H$9,0))))))</f>
        <v>0</v>
      </c>
      <c r="R92" s="105">
        <f>IF(I92="Yes",'Point Schedule'!$C$12,0)</f>
        <v>0</v>
      </c>
      <c r="S92" s="104">
        <f>IF(J92="Yes",'Point Schedule'!$C$13,0)</f>
        <v>0</v>
      </c>
      <c r="T92" s="104">
        <f>IF(K92="Yes",'Point Schedule'!$C$14,0)</f>
        <v>0</v>
      </c>
      <c r="U92" s="93">
        <f>IF(AND(B92=B140,NOT($B92=0),NOT(F92=F140)),'Point Schedule'!$C$11,0)</f>
        <v>0</v>
      </c>
      <c r="V92" s="761"/>
      <c r="Y92" s="178"/>
      <c r="Z92" s="179"/>
      <c r="AA92" s="175">
        <f t="shared" si="2"/>
        <v>0</v>
      </c>
      <c r="AB92" s="176">
        <f t="shared" si="3"/>
        <v>0</v>
      </c>
      <c r="AC92" s="177">
        <f t="shared" si="6"/>
        <v>0</v>
      </c>
      <c r="AD92" s="176">
        <f t="shared" si="7"/>
        <v>0</v>
      </c>
    </row>
    <row r="93" spans="1:30" ht="20.149999999999999" customHeight="1" x14ac:dyDescent="0.7">
      <c r="A93" s="387"/>
      <c r="B93" s="265"/>
      <c r="C93" s="716"/>
      <c r="D93" s="718"/>
      <c r="E93" s="291"/>
      <c r="F93" s="291"/>
      <c r="G93" s="291"/>
      <c r="H93" s="291"/>
      <c r="I93" s="291"/>
      <c r="J93" s="292"/>
      <c r="K93" s="292"/>
      <c r="L93" s="107">
        <f>IF(AND($H93="1st",$E93="Novice"),'Point Schedule'!$C$4,IF(AND($H93="2nd",$E93="Novice"),'Point Schedule'!$C$5,IF(AND($H93="3rd",$E93="Novice"),'Point Schedule'!$C$6,IF(AND($H93="4th",$E93="Novice"),'Point Schedule'!$C$7,0))))</f>
        <v>0</v>
      </c>
      <c r="M93" s="102">
        <f>IF(AND($H93="1st",$E93="Open"),'Point Schedule'!$E$4,IF(AND($H93="2nd",$E93="Open"),'Point Schedule'!$E$5,IF(AND($H93="3rd",$E93="Open"),'Point Schedule'!$E$6,IF(AND($H93="4th",$E93="Open"),'Point Schedule'!$E$7,0))))</f>
        <v>0</v>
      </c>
      <c r="N93" s="107">
        <f>IF(AND($H93="1st",$E93="Excellent"),'Point Schedule'!$G$4,IF(AND($H93="2nd",$E93="Excellent"),'Point Schedule'!$G$5,IF(AND($H93="3rd",$E93="Excellent"),'Point Schedule'!$G$6,IF(AND($H93="4th",$E93="Excellent"),'Point Schedule'!$G$7,0))))</f>
        <v>0</v>
      </c>
      <c r="O93" s="107">
        <f>IF(AND($H93="1st",$E93="Masters"),'Point Schedule'!$I$4,IF(AND($H93="2nd",$E93="Masters"),'Point Schedule'!$I$5,IF(AND($H93="3rd",$E93="Masters"),'Point Schedule'!$I$6,IF(AND($H93="4th",$E93="Masters"),'Point Schedule'!$I$7,0))))</f>
        <v>0</v>
      </c>
      <c r="P93" s="102">
        <f>IF(AND($H93="1st",$E93="Premier"),'Point Schedule'!$H$4,IF(AND($H93="2nd",$E93="Premier"),'Point Schedule'!$H$5,IF(AND($H93="3rd",$E93="Premier"),'Point Schedule'!$H$6,IF(AND($H93="4th",$E93="Premier"),'Point Schedule'!$H$7,0))))</f>
        <v>0</v>
      </c>
      <c r="Q93" s="102">
        <f>IF(AND(E93="Novice",G93="Yes"),'Point Schedule'!$C$9,IF(AND(E93="Open",G93="Yes"),'Point Schedule'!$E$9,IF(AND(E93="T2B",G93="Yes"),'Point Schedule'!$E$9,IF(AND(E93="Excellent",G93="Yes"),'Point Schedule'!$G$9,IF(AND(E93="Masters",G93="YES"),'Point Schedule'!$I$9,IF(AND(E93="Premier",G93="YES"),'Point Schedule'!$H$9,0))))))</f>
        <v>0</v>
      </c>
      <c r="R93" s="102">
        <f>IF(I93="Yes",'Point Schedule'!$C$12,0)</f>
        <v>0</v>
      </c>
      <c r="S93" s="104">
        <f>IF(J93="Yes",'Point Schedule'!$C$13,0)</f>
        <v>0</v>
      </c>
      <c r="T93" s="104">
        <f>IF(K93="Yes",'Point Schedule'!$C$14,0)</f>
        <v>0</v>
      </c>
      <c r="U93" s="93">
        <f>IF(AND(B93=B141,NOT($B93=0),NOT(F93=F141)),'Point Schedule'!$C$11,0)</f>
        <v>0</v>
      </c>
      <c r="V93" s="761"/>
      <c r="Y93" s="178"/>
      <c r="Z93" s="179"/>
      <c r="AA93" s="175">
        <f t="shared" si="2"/>
        <v>0</v>
      </c>
      <c r="AB93" s="176">
        <f t="shared" si="3"/>
        <v>0</v>
      </c>
      <c r="AC93" s="177">
        <f t="shared" si="6"/>
        <v>0</v>
      </c>
      <c r="AD93" s="176">
        <f t="shared" si="7"/>
        <v>0</v>
      </c>
    </row>
    <row r="94" spans="1:30" ht="20.149999999999999" customHeight="1" x14ac:dyDescent="0.7">
      <c r="A94" s="387"/>
      <c r="B94" s="265"/>
      <c r="C94" s="716"/>
      <c r="D94" s="718"/>
      <c r="E94" s="264"/>
      <c r="F94" s="264"/>
      <c r="G94" s="264"/>
      <c r="H94" s="264"/>
      <c r="I94" s="264"/>
      <c r="J94" s="267"/>
      <c r="K94" s="267"/>
      <c r="L94" s="107">
        <f>IF(AND($H94="1st",$E94="Novice"),'Point Schedule'!$C$4,IF(AND($H94="2nd",$E94="Novice"),'Point Schedule'!$C$5,IF(AND($H94="3rd",$E94="Novice"),'Point Schedule'!$C$6,IF(AND($H94="4th",$E94="Novice"),'Point Schedule'!$C$7,0))))</f>
        <v>0</v>
      </c>
      <c r="M94" s="102">
        <f>IF(AND($H94="1st",$E94="Open"),'Point Schedule'!$E$4,IF(AND($H94="2nd",$E94="Open"),'Point Schedule'!$E$5,IF(AND($H94="3rd",$E94="Open"),'Point Schedule'!$E$6,IF(AND($H94="4th",$E94="Open"),'Point Schedule'!$E$7,0))))</f>
        <v>0</v>
      </c>
      <c r="N94" s="107">
        <f>IF(AND($H94="1st",$E94="Excellent"),'Point Schedule'!$G$4,IF(AND($H94="2nd",$E94="Excellent"),'Point Schedule'!$G$5,IF(AND($H94="3rd",$E94="Excellent"),'Point Schedule'!$G$6,IF(AND($H94="4th",$E94="Excellent"),'Point Schedule'!$G$7,0))))</f>
        <v>0</v>
      </c>
      <c r="O94" s="107">
        <f>IF(AND($H94="1st",$E94="Masters"),'Point Schedule'!$I$4,IF(AND($H94="2nd",$E94="Masters"),'Point Schedule'!$I$5,IF(AND($H94="3rd",$E94="Masters"),'Point Schedule'!$I$6,IF(AND($H94="4th",$E94="Masters"),'Point Schedule'!$I$7,0))))</f>
        <v>0</v>
      </c>
      <c r="P94" s="102">
        <f>IF(AND($H94="1st",$E94="Premier"),'Point Schedule'!$H$4,IF(AND($H94="2nd",$E94="Premier"),'Point Schedule'!$H$5,IF(AND($H94="3rd",$E94="Premier"),'Point Schedule'!$H$6,IF(AND($H94="4th",$E94="Premier"),'Point Schedule'!$H$7,0))))</f>
        <v>0</v>
      </c>
      <c r="Q94" s="102">
        <f>IF(AND(E94="Novice",G94="Yes"),'Point Schedule'!$C$9,IF(AND(E94="Open",G94="Yes"),'Point Schedule'!$E$9,IF(AND(E94="T2B",G94="Yes"),'Point Schedule'!$E$9,IF(AND(E94="Excellent",G94="Yes"),'Point Schedule'!$G$9,IF(AND(E94="Masters",G94="YES"),'Point Schedule'!$I$9,IF(AND(E94="Premier",G94="YES"),'Point Schedule'!$H$9,0))))))</f>
        <v>0</v>
      </c>
      <c r="R94" s="105">
        <f>IF(I94="Yes",'Point Schedule'!$C$12,0)</f>
        <v>0</v>
      </c>
      <c r="S94" s="104">
        <f>IF(J94="Yes",'Point Schedule'!$C$13,0)</f>
        <v>0</v>
      </c>
      <c r="T94" s="104">
        <f>IF(K94="Yes",'Point Schedule'!$C$14,0)</f>
        <v>0</v>
      </c>
      <c r="U94" s="93">
        <f>IF(AND(B94=B142,NOT($B94=0),NOT(F94=F142)),'Point Schedule'!$C$11,0)</f>
        <v>0</v>
      </c>
      <c r="V94" s="761"/>
      <c r="Y94" s="178"/>
      <c r="Z94" s="179"/>
      <c r="AA94" s="175">
        <f t="shared" si="2"/>
        <v>0</v>
      </c>
      <c r="AB94" s="176">
        <f t="shared" si="3"/>
        <v>0</v>
      </c>
      <c r="AC94" s="177">
        <f t="shared" si="6"/>
        <v>0</v>
      </c>
      <c r="AD94" s="176">
        <f t="shared" si="7"/>
        <v>0</v>
      </c>
    </row>
    <row r="95" spans="1:30" ht="20.149999999999999" customHeight="1" x14ac:dyDescent="0.7">
      <c r="A95" s="387"/>
      <c r="B95" s="265"/>
      <c r="C95" s="716"/>
      <c r="D95" s="718"/>
      <c r="E95" s="264"/>
      <c r="F95" s="264"/>
      <c r="G95" s="264"/>
      <c r="H95" s="264"/>
      <c r="I95" s="264"/>
      <c r="J95" s="267"/>
      <c r="K95" s="267"/>
      <c r="L95" s="107">
        <f>IF(AND($H95="1st",$E95="Novice"),'Point Schedule'!$C$4,IF(AND($H95="2nd",$E95="Novice"),'Point Schedule'!$C$5,IF(AND($H95="3rd",$E95="Novice"),'Point Schedule'!$C$6,IF(AND($H95="4th",$E95="Novice"),'Point Schedule'!$C$7,0))))</f>
        <v>0</v>
      </c>
      <c r="M95" s="102">
        <f>IF(AND($H95="1st",$E95="Open"),'Point Schedule'!$E$4,IF(AND($H95="2nd",$E95="Open"),'Point Schedule'!$E$5,IF(AND($H95="3rd",$E95="Open"),'Point Schedule'!$E$6,IF(AND($H95="4th",$E95="Open"),'Point Schedule'!$E$7,0))))</f>
        <v>0</v>
      </c>
      <c r="N95" s="107">
        <f>IF(AND($H95="1st",$E95="Excellent"),'Point Schedule'!$G$4,IF(AND($H95="2nd",$E95="Excellent"),'Point Schedule'!$G$5,IF(AND($H95="3rd",$E95="Excellent"),'Point Schedule'!$G$6,IF(AND($H95="4th",$E95="Excellent"),'Point Schedule'!$G$7,0))))</f>
        <v>0</v>
      </c>
      <c r="O95" s="107">
        <f>IF(AND($H95="1st",$E95="Masters"),'Point Schedule'!$I$4,IF(AND($H95="2nd",$E95="Masters"),'Point Schedule'!$I$5,IF(AND($H95="3rd",$E95="Masters"),'Point Schedule'!$I$6,IF(AND($H95="4th",$E95="Masters"),'Point Schedule'!$I$7,0))))</f>
        <v>0</v>
      </c>
      <c r="P95" s="102">
        <f>IF(AND($H95="1st",$E95="Premier"),'Point Schedule'!$H$4,IF(AND($H95="2nd",$E95="Premier"),'Point Schedule'!$H$5,IF(AND($H95="3rd",$E95="Premier"),'Point Schedule'!$H$6,IF(AND($H95="4th",$E95="Premier"),'Point Schedule'!$H$7,0))))</f>
        <v>0</v>
      </c>
      <c r="Q95" s="102">
        <f>IF(AND(E95="Novice",G95="Yes"),'Point Schedule'!$C$9,IF(AND(E95="Open",G95="Yes"),'Point Schedule'!$E$9,IF(AND(E95="T2B",G95="Yes"),'Point Schedule'!$E$9,IF(AND(E95="Excellent",G95="Yes"),'Point Schedule'!$G$9,IF(AND(E95="Masters",G95="YES"),'Point Schedule'!$I$9,IF(AND(E95="Premier",G95="YES"),'Point Schedule'!$H$9,0))))))</f>
        <v>0</v>
      </c>
      <c r="R95" s="105">
        <f>IF(I95="Yes",'Point Schedule'!$C$12,0)</f>
        <v>0</v>
      </c>
      <c r="S95" s="104">
        <f>IF(J95="Yes",'Point Schedule'!$C$13,0)</f>
        <v>0</v>
      </c>
      <c r="T95" s="104">
        <f>IF(K95="Yes",'Point Schedule'!$C$14,0)</f>
        <v>0</v>
      </c>
      <c r="U95" s="93">
        <f>IF(AND(B95=B143,NOT($B95=0),NOT(F95=F143)),'Point Schedule'!$C$11,0)</f>
        <v>0</v>
      </c>
      <c r="V95" s="761"/>
      <c r="Y95" s="178"/>
      <c r="Z95" s="179"/>
      <c r="AA95" s="175">
        <f t="shared" si="2"/>
        <v>0</v>
      </c>
      <c r="AB95" s="176">
        <f t="shared" si="3"/>
        <v>0</v>
      </c>
      <c r="AC95" s="177">
        <f t="shared" si="6"/>
        <v>0</v>
      </c>
      <c r="AD95" s="176">
        <f t="shared" si="7"/>
        <v>0</v>
      </c>
    </row>
    <row r="96" spans="1:30" ht="20.149999999999999" customHeight="1" x14ac:dyDescent="0.7">
      <c r="A96" s="387"/>
      <c r="B96" s="265"/>
      <c r="C96" s="716"/>
      <c r="D96" s="718"/>
      <c r="E96" s="264"/>
      <c r="F96" s="264"/>
      <c r="G96" s="264"/>
      <c r="H96" s="264"/>
      <c r="I96" s="264"/>
      <c r="J96" s="267"/>
      <c r="K96" s="267"/>
      <c r="L96" s="107">
        <f>IF(AND($H96="1st",$E96="Novice"),'Point Schedule'!$C$4,IF(AND($H96="2nd",$E96="Novice"),'Point Schedule'!$C$5,IF(AND($H96="3rd",$E96="Novice"),'Point Schedule'!$C$6,IF(AND($H96="4th",$E96="Novice"),'Point Schedule'!$C$7,0))))</f>
        <v>0</v>
      </c>
      <c r="M96" s="102">
        <f>IF(AND($H96="1st",$E96="Open"),'Point Schedule'!$E$4,IF(AND($H96="2nd",$E96="Open"),'Point Schedule'!$E$5,IF(AND($H96="3rd",$E96="Open"),'Point Schedule'!$E$6,IF(AND($H96="4th",$E96="Open"),'Point Schedule'!$E$7,0))))</f>
        <v>0</v>
      </c>
      <c r="N96" s="107">
        <f>IF(AND($H96="1st",$E96="Excellent"),'Point Schedule'!$G$4,IF(AND($H96="2nd",$E96="Excellent"),'Point Schedule'!$G$5,IF(AND($H96="3rd",$E96="Excellent"),'Point Schedule'!$G$6,IF(AND($H96="4th",$E96="Excellent"),'Point Schedule'!$G$7,0))))</f>
        <v>0</v>
      </c>
      <c r="O96" s="107">
        <f>IF(AND($H96="1st",$E96="Masters"),'Point Schedule'!$I$4,IF(AND($H96="2nd",$E96="Masters"),'Point Schedule'!$I$5,IF(AND($H96="3rd",$E96="Masters"),'Point Schedule'!$I$6,IF(AND($H96="4th",$E96="Masters"),'Point Schedule'!$I$7,0))))</f>
        <v>0</v>
      </c>
      <c r="P96" s="102">
        <f>IF(AND($H96="1st",$E96="Premier"),'Point Schedule'!$H$4,IF(AND($H96="2nd",$E96="Premier"),'Point Schedule'!$H$5,IF(AND($H96="3rd",$E96="Premier"),'Point Schedule'!$H$6,IF(AND($H96="4th",$E96="Premier"),'Point Schedule'!$H$7,0))))</f>
        <v>0</v>
      </c>
      <c r="Q96" s="102">
        <f>IF(AND(E96="Novice",G96="Yes"),'Point Schedule'!$C$9,IF(AND(E96="Open",G96="Yes"),'Point Schedule'!$E$9,IF(AND(E96="T2B",G96="Yes"),'Point Schedule'!$E$9,IF(AND(E96="Excellent",G96="Yes"),'Point Schedule'!$G$9,IF(AND(E96="Masters",G96="YES"),'Point Schedule'!$I$9,IF(AND(E96="Premier",G96="YES"),'Point Schedule'!$H$9,0))))))</f>
        <v>0</v>
      </c>
      <c r="R96" s="105">
        <f>IF(I96="Yes",'Point Schedule'!$C$12,0)</f>
        <v>0</v>
      </c>
      <c r="S96" s="104">
        <f>IF(J96="Yes",'Point Schedule'!$C$13,0)</f>
        <v>0</v>
      </c>
      <c r="T96" s="104">
        <f>IF(K96="Yes",'Point Schedule'!$C$14,0)</f>
        <v>0</v>
      </c>
      <c r="U96" s="93">
        <f>IF(AND(B96=B144,NOT($B96=0),NOT(F96=F144)),'Point Schedule'!$C$11,0)</f>
        <v>0</v>
      </c>
      <c r="V96" s="761"/>
      <c r="Y96" s="178"/>
      <c r="Z96" s="179"/>
      <c r="AA96" s="175">
        <f t="shared" si="2"/>
        <v>0</v>
      </c>
      <c r="AB96" s="176">
        <f t="shared" si="3"/>
        <v>0</v>
      </c>
      <c r="AC96" s="177">
        <f t="shared" si="6"/>
        <v>0</v>
      </c>
      <c r="AD96" s="176">
        <f t="shared" si="7"/>
        <v>0</v>
      </c>
    </row>
    <row r="97" spans="1:30" ht="20.149999999999999" customHeight="1" x14ac:dyDescent="0.7">
      <c r="A97" s="387"/>
      <c r="B97" s="265"/>
      <c r="C97" s="716"/>
      <c r="D97" s="718"/>
      <c r="E97" s="264"/>
      <c r="F97" s="264"/>
      <c r="G97" s="264"/>
      <c r="H97" s="264"/>
      <c r="I97" s="264"/>
      <c r="J97" s="267"/>
      <c r="K97" s="267"/>
      <c r="L97" s="107">
        <f>IF(AND($H97="1st",$E97="Novice"),'Point Schedule'!$C$4,IF(AND($H97="2nd",$E97="Novice"),'Point Schedule'!$C$5,IF(AND($H97="3rd",$E97="Novice"),'Point Schedule'!$C$6,IF(AND($H97="4th",$E97="Novice"),'Point Schedule'!$C$7,0))))</f>
        <v>0</v>
      </c>
      <c r="M97" s="102">
        <f>IF(AND($H97="1st",$E97="Open"),'Point Schedule'!$E$4,IF(AND($H97="2nd",$E97="Open"),'Point Schedule'!$E$5,IF(AND($H97="3rd",$E97="Open"),'Point Schedule'!$E$6,IF(AND($H97="4th",$E97="Open"),'Point Schedule'!$E$7,0))))</f>
        <v>0</v>
      </c>
      <c r="N97" s="107">
        <f>IF(AND($H97="1st",$E97="Excellent"),'Point Schedule'!$G$4,IF(AND($H97="2nd",$E97="Excellent"),'Point Schedule'!$G$5,IF(AND($H97="3rd",$E97="Excellent"),'Point Schedule'!$G$6,IF(AND($H97="4th",$E97="Excellent"),'Point Schedule'!$G$7,0))))</f>
        <v>0</v>
      </c>
      <c r="O97" s="107">
        <f>IF(AND($H97="1st",$E97="Masters"),'Point Schedule'!$I$4,IF(AND($H97="2nd",$E97="Masters"),'Point Schedule'!$I$5,IF(AND($H97="3rd",$E97="Masters"),'Point Schedule'!$I$6,IF(AND($H97="4th",$E97="Masters"),'Point Schedule'!$I$7,0))))</f>
        <v>0</v>
      </c>
      <c r="P97" s="102">
        <f>IF(AND($H97="1st",$E97="Premier"),'Point Schedule'!$H$4,IF(AND($H97="2nd",$E97="Premier"),'Point Schedule'!$H$5,IF(AND($H97="3rd",$E97="Premier"),'Point Schedule'!$H$6,IF(AND($H97="4th",$E97="Premier"),'Point Schedule'!$H$7,0))))</f>
        <v>0</v>
      </c>
      <c r="Q97" s="102">
        <f>IF(AND(E97="Novice",G97="Yes"),'Point Schedule'!$C$9,IF(AND(E97="Open",G97="Yes"),'Point Schedule'!$E$9,IF(AND(E97="T2B",G97="Yes"),'Point Schedule'!$E$9,IF(AND(E97="Excellent",G97="Yes"),'Point Schedule'!$G$9,IF(AND(E97="Masters",G97="YES"),'Point Schedule'!$I$9,IF(AND(E97="Premier",G97="YES"),'Point Schedule'!$H$9,0))))))</f>
        <v>0</v>
      </c>
      <c r="R97" s="105">
        <f>IF(I97="Yes",'Point Schedule'!$C$12,0)</f>
        <v>0</v>
      </c>
      <c r="S97" s="104">
        <f>IF(J97="Yes",'Point Schedule'!$C$13,0)</f>
        <v>0</v>
      </c>
      <c r="T97" s="104">
        <f>IF(K97="Yes",'Point Schedule'!$C$14,0)</f>
        <v>0</v>
      </c>
      <c r="U97" s="93">
        <f>IF(AND(B97=B145,NOT($B97=0),NOT(F97=F145)),'Point Schedule'!$C$11,0)</f>
        <v>0</v>
      </c>
      <c r="V97" s="761"/>
      <c r="Y97" s="178"/>
      <c r="Z97" s="179"/>
      <c r="AA97" s="175">
        <f t="shared" si="2"/>
        <v>0</v>
      </c>
      <c r="AB97" s="176">
        <f t="shared" si="3"/>
        <v>0</v>
      </c>
      <c r="AC97" s="177">
        <f t="shared" si="6"/>
        <v>0</v>
      </c>
      <c r="AD97" s="176">
        <f t="shared" si="7"/>
        <v>0</v>
      </c>
    </row>
    <row r="98" spans="1:30" ht="20.149999999999999" customHeight="1" x14ac:dyDescent="0.7">
      <c r="A98" s="387"/>
      <c r="B98" s="265"/>
      <c r="C98" s="716"/>
      <c r="D98" s="718"/>
      <c r="E98" s="264"/>
      <c r="F98" s="264"/>
      <c r="G98" s="264"/>
      <c r="H98" s="264"/>
      <c r="I98" s="264"/>
      <c r="J98" s="267"/>
      <c r="K98" s="267"/>
      <c r="L98" s="107">
        <f>IF(AND($H98="1st",$E98="Novice"),'Point Schedule'!$C$4,IF(AND($H98="2nd",$E98="Novice"),'Point Schedule'!$C$5,IF(AND($H98="3rd",$E98="Novice"),'Point Schedule'!$C$6,IF(AND($H98="4th",$E98="Novice"),'Point Schedule'!$C$7,0))))</f>
        <v>0</v>
      </c>
      <c r="M98" s="102">
        <f>IF(AND($H98="1st",$E98="Open"),'Point Schedule'!$E$4,IF(AND($H98="2nd",$E98="Open"),'Point Schedule'!$E$5,IF(AND($H98="3rd",$E98="Open"),'Point Schedule'!$E$6,IF(AND($H98="4th",$E98="Open"),'Point Schedule'!$E$7,0))))</f>
        <v>0</v>
      </c>
      <c r="N98" s="107">
        <f>IF(AND($H98="1st",$E98="Excellent"),'Point Schedule'!$G$4,IF(AND($H98="2nd",$E98="Excellent"),'Point Schedule'!$G$5,IF(AND($H98="3rd",$E98="Excellent"),'Point Schedule'!$G$6,IF(AND($H98="4th",$E98="Excellent"),'Point Schedule'!$G$7,0))))</f>
        <v>0</v>
      </c>
      <c r="O98" s="107">
        <f>IF(AND($H98="1st",$E98="Masters"),'Point Schedule'!$I$4,IF(AND($H98="2nd",$E98="Masters"),'Point Schedule'!$I$5,IF(AND($H98="3rd",$E98="Masters"),'Point Schedule'!$I$6,IF(AND($H98="4th",$E98="Masters"),'Point Schedule'!$I$7,0))))</f>
        <v>0</v>
      </c>
      <c r="P98" s="102">
        <f>IF(AND($H98="1st",$E98="Premier"),'Point Schedule'!$H$4,IF(AND($H98="2nd",$E98="Premier"),'Point Schedule'!$H$5,IF(AND($H98="3rd",$E98="Premier"),'Point Schedule'!$H$6,IF(AND($H98="4th",$E98="Premier"),'Point Schedule'!$H$7,0))))</f>
        <v>0</v>
      </c>
      <c r="Q98" s="102">
        <f>IF(AND(E98="Novice",G98="Yes"),'Point Schedule'!$C$9,IF(AND(E98="Open",G98="Yes"),'Point Schedule'!$E$9,IF(AND(E98="T2B",G98="Yes"),'Point Schedule'!$E$9,IF(AND(E98="Excellent",G98="Yes"),'Point Schedule'!$G$9,IF(AND(E98="Masters",G98="YES"),'Point Schedule'!$I$9,IF(AND(E98="Premier",G98="YES"),'Point Schedule'!$H$9,0))))))</f>
        <v>0</v>
      </c>
      <c r="R98" s="105">
        <f>IF(I98="Yes",'Point Schedule'!$C$12,0)</f>
        <v>0</v>
      </c>
      <c r="S98" s="104">
        <f>IF(J98="Yes",'Point Schedule'!$C$13,0)</f>
        <v>0</v>
      </c>
      <c r="T98" s="104">
        <f>IF(K98="Yes",'Point Schedule'!$C$14,0)</f>
        <v>0</v>
      </c>
      <c r="U98" s="93">
        <f>IF(AND(B98=B146,NOT($B98=0),NOT(F98=F146)),'Point Schedule'!$C$11,0)</f>
        <v>0</v>
      </c>
      <c r="V98" s="761"/>
      <c r="Y98" s="178"/>
      <c r="Z98" s="179"/>
      <c r="AA98" s="175">
        <f t="shared" si="2"/>
        <v>0</v>
      </c>
      <c r="AB98" s="176">
        <f t="shared" si="3"/>
        <v>0</v>
      </c>
      <c r="AC98" s="177">
        <f t="shared" si="6"/>
        <v>0</v>
      </c>
      <c r="AD98" s="176">
        <f t="shared" si="7"/>
        <v>0</v>
      </c>
    </row>
    <row r="99" spans="1:30" ht="20.149999999999999" customHeight="1" x14ac:dyDescent="0.7">
      <c r="A99" s="387"/>
      <c r="B99" s="265"/>
      <c r="C99" s="716"/>
      <c r="D99" s="718"/>
      <c r="E99" s="264"/>
      <c r="F99" s="264"/>
      <c r="G99" s="264"/>
      <c r="H99" s="264"/>
      <c r="I99" s="264"/>
      <c r="J99" s="267"/>
      <c r="K99" s="267"/>
      <c r="L99" s="107">
        <f>IF(AND($H99="1st",$E99="Novice"),'Point Schedule'!$C$4,IF(AND($H99="2nd",$E99="Novice"),'Point Schedule'!$C$5,IF(AND($H99="3rd",$E99="Novice"),'Point Schedule'!$C$6,IF(AND($H99="4th",$E99="Novice"),'Point Schedule'!$C$7,0))))</f>
        <v>0</v>
      </c>
      <c r="M99" s="102">
        <f>IF(AND($H99="1st",$E99="Open"),'Point Schedule'!$E$4,IF(AND($H99="2nd",$E99="Open"),'Point Schedule'!$E$5,IF(AND($H99="3rd",$E99="Open"),'Point Schedule'!$E$6,IF(AND($H99="4th",$E99="Open"),'Point Schedule'!$E$7,0))))</f>
        <v>0</v>
      </c>
      <c r="N99" s="107">
        <f>IF(AND($H99="1st",$E99="Excellent"),'Point Schedule'!$G$4,IF(AND($H99="2nd",$E99="Excellent"),'Point Schedule'!$G$5,IF(AND($H99="3rd",$E99="Excellent"),'Point Schedule'!$G$6,IF(AND($H99="4th",$E99="Excellent"),'Point Schedule'!$G$7,0))))</f>
        <v>0</v>
      </c>
      <c r="O99" s="107">
        <f>IF(AND($H99="1st",$E99="Masters"),'Point Schedule'!$I$4,IF(AND($H99="2nd",$E99="Masters"),'Point Schedule'!$I$5,IF(AND($H99="3rd",$E99="Masters"),'Point Schedule'!$I$6,IF(AND($H99="4th",$E99="Masters"),'Point Schedule'!$I$7,0))))</f>
        <v>0</v>
      </c>
      <c r="P99" s="102">
        <f>IF(AND($H99="1st",$E99="Premier"),'Point Schedule'!$H$4,IF(AND($H99="2nd",$E99="Premier"),'Point Schedule'!$H$5,IF(AND($H99="3rd",$E99="Premier"),'Point Schedule'!$H$6,IF(AND($H99="4th",$E99="Premier"),'Point Schedule'!$H$7,0))))</f>
        <v>0</v>
      </c>
      <c r="Q99" s="102">
        <f>IF(AND(E99="Novice",G99="Yes"),'Point Schedule'!$C$9,IF(AND(E99="Open",G99="Yes"),'Point Schedule'!$E$9,IF(AND(E99="T2B",G99="Yes"),'Point Schedule'!$E$9,IF(AND(E99="Excellent",G99="Yes"),'Point Schedule'!$G$9,IF(AND(E99="Masters",G99="YES"),'Point Schedule'!$I$9,IF(AND(E99="Premier",G99="YES"),'Point Schedule'!$H$9,0))))))</f>
        <v>0</v>
      </c>
      <c r="R99" s="105">
        <f>IF(I99="Yes",'Point Schedule'!$C$12,0)</f>
        <v>0</v>
      </c>
      <c r="S99" s="104">
        <f>IF(J99="Yes",'Point Schedule'!$C$13,0)</f>
        <v>0</v>
      </c>
      <c r="T99" s="104">
        <f>IF(K99="Yes",'Point Schedule'!$C$14,0)</f>
        <v>0</v>
      </c>
      <c r="U99" s="93">
        <f>IF(AND(B99=B147,NOT($B99=0),NOT(F99=F147)),'Point Schedule'!$C$11,0)</f>
        <v>0</v>
      </c>
      <c r="V99" s="761"/>
      <c r="Y99" s="178"/>
      <c r="Z99" s="179"/>
      <c r="AA99" s="175">
        <f t="shared" si="2"/>
        <v>0</v>
      </c>
      <c r="AB99" s="176">
        <f t="shared" si="3"/>
        <v>0</v>
      </c>
      <c r="AC99" s="177">
        <f t="shared" si="6"/>
        <v>0</v>
      </c>
      <c r="AD99" s="176">
        <f t="shared" si="7"/>
        <v>0</v>
      </c>
    </row>
    <row r="100" spans="1:30" ht="20.149999999999999" customHeight="1" x14ac:dyDescent="0.7">
      <c r="A100" s="387"/>
      <c r="B100" s="265"/>
      <c r="C100" s="716"/>
      <c r="D100" s="718"/>
      <c r="E100" s="264"/>
      <c r="F100" s="264"/>
      <c r="G100" s="264"/>
      <c r="H100" s="264"/>
      <c r="I100" s="264"/>
      <c r="J100" s="267"/>
      <c r="K100" s="267"/>
      <c r="L100" s="107">
        <f>IF(AND($H100="1st",$E100="Novice"),'Point Schedule'!$C$4,IF(AND($H100="2nd",$E100="Novice"),'Point Schedule'!$C$5,IF(AND($H100="3rd",$E100="Novice"),'Point Schedule'!$C$6,IF(AND($H100="4th",$E100="Novice"),'Point Schedule'!$C$7,0))))</f>
        <v>0</v>
      </c>
      <c r="M100" s="102">
        <f>IF(AND($H100="1st",$E100="Open"),'Point Schedule'!$E$4,IF(AND($H100="2nd",$E100="Open"),'Point Schedule'!$E$5,IF(AND($H100="3rd",$E100="Open"),'Point Schedule'!$E$6,IF(AND($H100="4th",$E100="Open"),'Point Schedule'!$E$7,0))))</f>
        <v>0</v>
      </c>
      <c r="N100" s="107">
        <f>IF(AND($H100="1st",$E100="Excellent"),'Point Schedule'!$G$4,IF(AND($H100="2nd",$E100="Excellent"),'Point Schedule'!$G$5,IF(AND($H100="3rd",$E100="Excellent"),'Point Schedule'!$G$6,IF(AND($H100="4th",$E100="Excellent"),'Point Schedule'!$G$7,0))))</f>
        <v>0</v>
      </c>
      <c r="O100" s="107">
        <f>IF(AND($H100="1st",$E100="Masters"),'Point Schedule'!$I$4,IF(AND($H100="2nd",$E100="Masters"),'Point Schedule'!$I$5,IF(AND($H100="3rd",$E100="Masters"),'Point Schedule'!$I$6,IF(AND($H100="4th",$E100="Masters"),'Point Schedule'!$I$7,0))))</f>
        <v>0</v>
      </c>
      <c r="P100" s="102">
        <f>IF(AND($H100="1st",$E100="Premier"),'Point Schedule'!$H$4,IF(AND($H100="2nd",$E100="Premier"),'Point Schedule'!$H$5,IF(AND($H100="3rd",$E100="Premier"),'Point Schedule'!$H$6,IF(AND($H100="4th",$E100="Premier"),'Point Schedule'!$H$7,0))))</f>
        <v>0</v>
      </c>
      <c r="Q100" s="102">
        <f>IF(AND(E100="Novice",G100="Yes"),'Point Schedule'!$C$9,IF(AND(E100="Open",G100="Yes"),'Point Schedule'!$E$9,IF(AND(E100="T2B",G100="Yes"),'Point Schedule'!$E$9,IF(AND(E100="Excellent",G100="Yes"),'Point Schedule'!$G$9,IF(AND(E100="Masters",G100="YES"),'Point Schedule'!$I$9,IF(AND(E100="Premier",G100="YES"),'Point Schedule'!$H$9,0))))))</f>
        <v>0</v>
      </c>
      <c r="R100" s="105">
        <f>IF(I100="Yes",'Point Schedule'!$C$12,0)</f>
        <v>0</v>
      </c>
      <c r="S100" s="104">
        <f>IF(J100="Yes",'Point Schedule'!$C$13,0)</f>
        <v>0</v>
      </c>
      <c r="T100" s="104">
        <f>IF(K100="Yes",'Point Schedule'!$C$14,0)</f>
        <v>0</v>
      </c>
      <c r="U100" s="93">
        <f>IF(AND(B100=B148,NOT($B100=0),NOT(F100=F148)),'Point Schedule'!$C$11,0)</f>
        <v>0</v>
      </c>
      <c r="V100" s="761"/>
      <c r="Y100" s="178"/>
      <c r="Z100" s="179"/>
      <c r="AA100" s="175">
        <f t="shared" si="2"/>
        <v>0</v>
      </c>
      <c r="AB100" s="176">
        <f t="shared" si="3"/>
        <v>0</v>
      </c>
      <c r="AC100" s="177">
        <f t="shared" si="6"/>
        <v>0</v>
      </c>
      <c r="AD100" s="176">
        <f t="shared" si="7"/>
        <v>0</v>
      </c>
    </row>
    <row r="101" spans="1:30" ht="20.149999999999999" customHeight="1" thickBot="1" x14ac:dyDescent="0.85">
      <c r="A101" s="387"/>
      <c r="B101" s="266"/>
      <c r="C101" s="719"/>
      <c r="D101" s="721"/>
      <c r="E101" s="268"/>
      <c r="F101" s="268"/>
      <c r="G101" s="268"/>
      <c r="H101" s="268"/>
      <c r="I101" s="268"/>
      <c r="J101" s="268"/>
      <c r="K101" s="268"/>
      <c r="L101" s="107">
        <f>IF(AND($H101="1st",$E101="Novice"),'Point Schedule'!$C$4,IF(AND($H101="2nd",$E101="Novice"),'Point Schedule'!$C$5,IF(AND($H101="3rd",$E101="Novice"),'Point Schedule'!$C$6,IF(AND($H101="4th",$E101="Novice"),'Point Schedule'!$C$7,0))))</f>
        <v>0</v>
      </c>
      <c r="M101" s="102">
        <f>IF(AND($H101="1st",$E101="Open"),'Point Schedule'!$E$4,IF(AND($H101="2nd",$E101="Open"),'Point Schedule'!$E$5,IF(AND($H101="3rd",$E101="Open"),'Point Schedule'!$E$6,IF(AND($H101="4th",$E101="Open"),'Point Schedule'!$E$7,0))))</f>
        <v>0</v>
      </c>
      <c r="N101" s="107">
        <f>IF(AND($H101="1st",$E101="Excellent"),'Point Schedule'!$G$4,IF(AND($H101="2nd",$E101="Excellent"),'Point Schedule'!$G$5,IF(AND($H101="3rd",$E101="Excellent"),'Point Schedule'!$G$6,IF(AND($H101="4th",$E101="Excellent"),'Point Schedule'!$G$7,0))))</f>
        <v>0</v>
      </c>
      <c r="O101" s="107">
        <f>IF(AND($H101="1st",$E101="Masters"),'Point Schedule'!$I$4,IF(AND($H101="2nd",$E101="Masters"),'Point Schedule'!$I$5,IF(AND($H101="3rd",$E101="Masters"),'Point Schedule'!$I$6,IF(AND($H101="4th",$E101="Masters"),'Point Schedule'!$I$7,0))))</f>
        <v>0</v>
      </c>
      <c r="P101" s="102">
        <f>IF(AND($H101="1st",$E101="Premier"),'Point Schedule'!$H$4,IF(AND($H101="2nd",$E101="Premier"),'Point Schedule'!$H$5,IF(AND($H101="3rd",$E101="Premier"),'Point Schedule'!$H$6,IF(AND($H101="4th",$E101="Premier"),'Point Schedule'!$H$7,0))))</f>
        <v>0</v>
      </c>
      <c r="Q101" s="102">
        <f>IF(AND(E101="Novice",G101="Yes"),'Point Schedule'!$C$9,IF(AND(E101="Open",G101="Yes"),'Point Schedule'!$E$9,IF(AND(E101="T2B",G101="Yes"),'Point Schedule'!$E$9,IF(AND(E101="Excellent",G101="Yes"),'Point Schedule'!$G$9,IF(AND(E101="Masters",G101="YES"),'Point Schedule'!$I$9,IF(AND(E101="Premier",G101="YES"),'Point Schedule'!$H$9,0))))))</f>
        <v>0</v>
      </c>
      <c r="R101" s="105">
        <f>IF(I101="Yes",'Point Schedule'!$C$12,0)</f>
        <v>0</v>
      </c>
      <c r="S101" s="104">
        <f>IF(J101="Yes",'Point Schedule'!$C$13,0)</f>
        <v>0</v>
      </c>
      <c r="T101" s="104">
        <f>IF(K101="Yes",'Point Schedule'!$C$14,0)</f>
        <v>0</v>
      </c>
      <c r="U101" s="93">
        <f>IF(AND(B101=B149,NOT($B101=0),NOT(F101=F149)),'Point Schedule'!$C$11,0)</f>
        <v>0</v>
      </c>
      <c r="V101" s="761"/>
      <c r="Y101" s="180"/>
      <c r="Z101" s="181"/>
      <c r="AA101" s="175">
        <f t="shared" si="2"/>
        <v>0</v>
      </c>
      <c r="AB101" s="176">
        <f t="shared" si="3"/>
        <v>0</v>
      </c>
      <c r="AC101" s="177">
        <f t="shared" si="6"/>
        <v>0</v>
      </c>
      <c r="AD101" s="176">
        <f t="shared" si="7"/>
        <v>0</v>
      </c>
    </row>
    <row r="102" spans="1:30" ht="20.149999999999999" customHeight="1" thickTop="1" thickBot="1" x14ac:dyDescent="0.75">
      <c r="A102" s="387"/>
      <c r="B102" s="108" t="s">
        <v>131</v>
      </c>
      <c r="C102" s="109">
        <f>SUM(L11:U101)</f>
        <v>0</v>
      </c>
      <c r="D102" s="106"/>
      <c r="E102" s="106"/>
      <c r="F102" s="106"/>
      <c r="G102" s="106"/>
      <c r="H102" s="106"/>
      <c r="I102" s="106"/>
      <c r="J102" s="106"/>
      <c r="K102" s="106"/>
      <c r="L102" s="23"/>
      <c r="M102" s="23"/>
      <c r="N102" s="23"/>
      <c r="O102" s="23"/>
      <c r="P102" s="23"/>
      <c r="Q102" s="18"/>
      <c r="R102" s="18"/>
      <c r="S102" s="18"/>
      <c r="T102" s="18"/>
      <c r="U102" s="23"/>
      <c r="V102" s="761"/>
    </row>
    <row r="103" spans="1:30" ht="20.149999999999999" customHeight="1" thickTop="1" thickBot="1" x14ac:dyDescent="0.75">
      <c r="A103" s="551"/>
      <c r="B103" s="759"/>
      <c r="C103" s="759"/>
      <c r="D103" s="759"/>
      <c r="E103" s="759"/>
      <c r="F103" s="759"/>
      <c r="G103" s="759"/>
      <c r="H103" s="759"/>
      <c r="I103" s="759"/>
      <c r="J103" s="759"/>
      <c r="K103" s="759"/>
      <c r="L103" s="759"/>
      <c r="M103" s="759"/>
      <c r="N103" s="759"/>
      <c r="O103" s="759"/>
      <c r="P103" s="759"/>
      <c r="Q103" s="759"/>
      <c r="R103" s="759"/>
      <c r="S103" s="759"/>
      <c r="T103" s="759"/>
      <c r="U103" s="759"/>
      <c r="V103" s="760"/>
      <c r="Y103" s="840" t="s">
        <v>363</v>
      </c>
      <c r="Z103" s="841"/>
      <c r="AA103" s="841">
        <f>SUM($AA$11:$AA$101)</f>
        <v>0</v>
      </c>
      <c r="AB103" s="841">
        <f>SUM($AB$11:$AB$101)</f>
        <v>0</v>
      </c>
    </row>
    <row r="104" spans="1:30" ht="13.75" thickTop="1" x14ac:dyDescent="0.6">
      <c r="Y104" s="842"/>
      <c r="Z104" s="821"/>
      <c r="AA104" s="821"/>
      <c r="AB104" s="821"/>
    </row>
    <row r="105" spans="1:30" x14ac:dyDescent="0.6">
      <c r="Y105" s="842"/>
      <c r="Z105" s="821"/>
      <c r="AA105" s="821"/>
      <c r="AB105" s="821"/>
    </row>
    <row r="106" spans="1:30" x14ac:dyDescent="0.6">
      <c r="Y106" s="820" t="s">
        <v>364</v>
      </c>
      <c r="Z106" s="821"/>
      <c r="AA106" s="843"/>
      <c r="AB106" s="844"/>
    </row>
    <row r="107" spans="1:30" x14ac:dyDescent="0.6">
      <c r="Y107" s="842"/>
      <c r="Z107" s="821"/>
      <c r="AA107" s="843"/>
      <c r="AB107" s="844"/>
    </row>
    <row r="108" spans="1:30" x14ac:dyDescent="0.6">
      <c r="Y108" s="842"/>
      <c r="Z108" s="821"/>
      <c r="AA108" s="843"/>
      <c r="AB108" s="844"/>
    </row>
    <row r="109" spans="1:30" x14ac:dyDescent="0.6">
      <c r="Y109" s="820" t="s">
        <v>365</v>
      </c>
      <c r="Z109" s="821"/>
      <c r="AA109" s="821">
        <f>SUM($AA$103:$AA$108)</f>
        <v>0</v>
      </c>
      <c r="AB109" s="824">
        <f>SUM($AB$103:$AB$108)</f>
        <v>0</v>
      </c>
    </row>
    <row r="110" spans="1:30" ht="13.75" thickBot="1" x14ac:dyDescent="0.75">
      <c r="Y110" s="822"/>
      <c r="Z110" s="823"/>
      <c r="AA110" s="823"/>
      <c r="AB110" s="825"/>
    </row>
  </sheetData>
  <sheetProtection algorithmName="SHA-512" hashValue="Blu9Tsw8HadN1kpDX894S9EEI/5e1X3PyFHFVONrmMtIHbdh7ESawt7yyEYu/LUZGnAsIKOKB9NibvYLh5wTVA==" saltValue="alJnpjAfd/W2+bKzS1cznQ==" spinCount="100000" sheet="1" objects="1" scenarios="1"/>
  <mergeCells count="129">
    <mergeCell ref="C50:D50"/>
    <mergeCell ref="C49:D49"/>
    <mergeCell ref="C48:D48"/>
    <mergeCell ref="C57:D57"/>
    <mergeCell ref="C56:D56"/>
    <mergeCell ref="C55:D55"/>
    <mergeCell ref="C54:D54"/>
    <mergeCell ref="C53:D53"/>
    <mergeCell ref="C85:D85"/>
    <mergeCell ref="C84:D84"/>
    <mergeCell ref="C83:D83"/>
    <mergeCell ref="C72:D72"/>
    <mergeCell ref="C71:D71"/>
    <mergeCell ref="C70:D70"/>
    <mergeCell ref="C69:D69"/>
    <mergeCell ref="C68:D68"/>
    <mergeCell ref="C77:D77"/>
    <mergeCell ref="C76:D76"/>
    <mergeCell ref="C75:D75"/>
    <mergeCell ref="C74:D74"/>
    <mergeCell ref="C73:D73"/>
    <mergeCell ref="B7:E7"/>
    <mergeCell ref="F7:U7"/>
    <mergeCell ref="L9:L10"/>
    <mergeCell ref="M9:M10"/>
    <mergeCell ref="C82:D82"/>
    <mergeCell ref="C81:D81"/>
    <mergeCell ref="C80:D80"/>
    <mergeCell ref="C79:D79"/>
    <mergeCell ref="C78:D78"/>
    <mergeCell ref="C62:D62"/>
    <mergeCell ref="C61:D61"/>
    <mergeCell ref="C60:D60"/>
    <mergeCell ref="C59:D59"/>
    <mergeCell ref="C58:D58"/>
    <mergeCell ref="C67:D67"/>
    <mergeCell ref="C66:D66"/>
    <mergeCell ref="C65:D65"/>
    <mergeCell ref="C64:D64"/>
    <mergeCell ref="C63:D63"/>
    <mergeCell ref="C47:D47"/>
    <mergeCell ref="C46:D46"/>
    <mergeCell ref="C45:D45"/>
    <mergeCell ref="C52:D52"/>
    <mergeCell ref="C51:D51"/>
    <mergeCell ref="Y109:Z110"/>
    <mergeCell ref="AA109:AA110"/>
    <mergeCell ref="AB109:AB110"/>
    <mergeCell ref="Y4:AD6"/>
    <mergeCell ref="Y9:AB9"/>
    <mergeCell ref="AC10:AD10"/>
    <mergeCell ref="Y103:Z105"/>
    <mergeCell ref="AA103:AA105"/>
    <mergeCell ref="AB103:AB105"/>
    <mergeCell ref="Y106:Z108"/>
    <mergeCell ref="AA106:AA108"/>
    <mergeCell ref="AB106:AB108"/>
    <mergeCell ref="A1:V1"/>
    <mergeCell ref="B2:U2"/>
    <mergeCell ref="B3:U3"/>
    <mergeCell ref="A103:V103"/>
    <mergeCell ref="V2:V102"/>
    <mergeCell ref="A2:A102"/>
    <mergeCell ref="O9:O10"/>
    <mergeCell ref="Q9:Q10"/>
    <mergeCell ref="B4:E4"/>
    <mergeCell ref="F4:U4"/>
    <mergeCell ref="B5:E5"/>
    <mergeCell ref="F5:U5"/>
    <mergeCell ref="U9:U10"/>
    <mergeCell ref="B9:B10"/>
    <mergeCell ref="R9:R10"/>
    <mergeCell ref="C9:D10"/>
    <mergeCell ref="B6:E6"/>
    <mergeCell ref="F6:U6"/>
    <mergeCell ref="C18:D18"/>
    <mergeCell ref="C19:D19"/>
    <mergeCell ref="C11:D11"/>
    <mergeCell ref="C12:D12"/>
    <mergeCell ref="C13:D13"/>
    <mergeCell ref="C14:D14"/>
    <mergeCell ref="S9:S10"/>
    <mergeCell ref="T9:T10"/>
    <mergeCell ref="C95:D95"/>
    <mergeCell ref="C36:D36"/>
    <mergeCell ref="C37:D37"/>
    <mergeCell ref="C38:D38"/>
    <mergeCell ref="C39:D39"/>
    <mergeCell ref="C92:D92"/>
    <mergeCell ref="C94:D94"/>
    <mergeCell ref="C40:D40"/>
    <mergeCell ref="C41:D41"/>
    <mergeCell ref="C42:D42"/>
    <mergeCell ref="C43:D43"/>
    <mergeCell ref="C44:D44"/>
    <mergeCell ref="C20:D20"/>
    <mergeCell ref="C21:D21"/>
    <mergeCell ref="C34:D34"/>
    <mergeCell ref="C35:D35"/>
    <mergeCell ref="C24:D24"/>
    <mergeCell ref="C30:D30"/>
    <mergeCell ref="C31:D31"/>
    <mergeCell ref="C32:D32"/>
    <mergeCell ref="C33:D33"/>
    <mergeCell ref="C93:D93"/>
    <mergeCell ref="P9:P10"/>
    <mergeCell ref="C28:D28"/>
    <mergeCell ref="C29:D29"/>
    <mergeCell ref="C22:D22"/>
    <mergeCell ref="C23:D23"/>
    <mergeCell ref="C25:D25"/>
    <mergeCell ref="C26:D26"/>
    <mergeCell ref="C27:D27"/>
    <mergeCell ref="C101:D101"/>
    <mergeCell ref="C96:D96"/>
    <mergeCell ref="C97:D97"/>
    <mergeCell ref="C98:D98"/>
    <mergeCell ref="C100:D100"/>
    <mergeCell ref="C99:D99"/>
    <mergeCell ref="N9:N10"/>
    <mergeCell ref="C91:D91"/>
    <mergeCell ref="C90:D90"/>
    <mergeCell ref="C89:D89"/>
    <mergeCell ref="C88:D88"/>
    <mergeCell ref="C15:D15"/>
    <mergeCell ref="C16:D16"/>
    <mergeCell ref="C17:D17"/>
    <mergeCell ref="C87:D87"/>
    <mergeCell ref="C86:D86"/>
  </mergeCells>
  <phoneticPr fontId="2" type="noConversion"/>
  <dataValidations count="4">
    <dataValidation type="list" allowBlank="1" showInputMessage="1" showErrorMessage="1" sqref="E12:E101" xr:uid="{00000000-0002-0000-0600-000000000000}">
      <formula1>AGClasses</formula1>
    </dataValidation>
    <dataValidation type="list" allowBlank="1" showInputMessage="1" showErrorMessage="1" sqref="F12:F101" xr:uid="{00000000-0002-0000-0600-000001000000}">
      <formula1>STDJWW</formula1>
    </dataValidation>
    <dataValidation type="list" allowBlank="1" showInputMessage="1" showErrorMessage="1" sqref="H12:H101" xr:uid="{00000000-0002-0000-0600-000002000000}">
      <formula1>Placement</formula1>
    </dataValidation>
    <dataValidation type="list" allowBlank="1" showInputMessage="1" showErrorMessage="1" sqref="I12:K101 G12:G101" xr:uid="{00000000-0002-0000-0600-000003000000}">
      <formula1>YN</formula1>
    </dataValidation>
  </dataValidations>
  <printOptions horizontalCentered="1" verticalCentered="1"/>
  <pageMargins left="0.25" right="0.25" top="0.25" bottom="0.25" header="0" footer="0"/>
  <pageSetup scale="49" orientation="landscape" horizontalDpi="300" verticalDpi="300"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9">
    <pageSetUpPr fitToPage="1"/>
  </sheetPr>
  <dimension ref="A1:Y86"/>
  <sheetViews>
    <sheetView view="pageBreakPreview" zoomScale="60" zoomScaleNormal="100" workbookViewId="0">
      <selection activeCell="C15" sqref="C15:D15"/>
    </sheetView>
  </sheetViews>
  <sheetFormatPr defaultColWidth="12.6796875" defaultRowHeight="13" x14ac:dyDescent="0.6"/>
  <cols>
    <col min="1" max="1" width="2.6796875" customWidth="1"/>
    <col min="2" max="2" width="12.6796875" customWidth="1"/>
    <col min="3" max="3" width="15.6796875" customWidth="1"/>
    <col min="4" max="4" width="30.6796875" customWidth="1"/>
    <col min="5" max="5" width="14.54296875" customWidth="1"/>
    <col min="6" max="8" width="12.6796875" customWidth="1"/>
    <col min="9" max="9" width="14.2265625" customWidth="1"/>
    <col min="10" max="15" width="12.6796875" customWidth="1"/>
    <col min="16" max="16" width="2.6796875" customWidth="1"/>
  </cols>
  <sheetData>
    <row r="1" spans="1:25" ht="14.5" thickTop="1" thickBot="1" x14ac:dyDescent="0.75">
      <c r="A1" s="742"/>
      <c r="B1" s="743"/>
      <c r="C1" s="743"/>
      <c r="D1" s="743"/>
      <c r="E1" s="743"/>
      <c r="F1" s="743"/>
      <c r="G1" s="743"/>
      <c r="H1" s="743"/>
      <c r="I1" s="743"/>
      <c r="J1" s="743"/>
      <c r="K1" s="743"/>
      <c r="L1" s="743"/>
      <c r="M1" s="743"/>
      <c r="N1" s="743"/>
      <c r="O1" s="743"/>
      <c r="P1" s="744"/>
    </row>
    <row r="2" spans="1:25" ht="25.15" customHeight="1" thickTop="1" thickBot="1" x14ac:dyDescent="0.75">
      <c r="A2" s="387"/>
      <c r="B2" s="745" t="s">
        <v>268</v>
      </c>
      <c r="C2" s="746"/>
      <c r="D2" s="746"/>
      <c r="E2" s="747"/>
      <c r="F2" s="747"/>
      <c r="G2" s="747"/>
      <c r="H2" s="747"/>
      <c r="I2" s="747"/>
      <c r="J2" s="747"/>
      <c r="K2" s="747"/>
      <c r="L2" s="747"/>
      <c r="M2" s="747"/>
      <c r="N2" s="747"/>
      <c r="O2" s="748"/>
      <c r="P2" s="761"/>
    </row>
    <row r="3" spans="1:25" ht="14.5" thickTop="1" thickBot="1" x14ac:dyDescent="0.75">
      <c r="A3" s="387"/>
      <c r="B3" s="388"/>
      <c r="C3" s="388"/>
      <c r="D3" s="388"/>
      <c r="E3" s="388"/>
      <c r="F3" s="388"/>
      <c r="G3" s="388"/>
      <c r="H3" s="388"/>
      <c r="I3" s="388"/>
      <c r="J3" s="388"/>
      <c r="K3" s="388"/>
      <c r="L3" s="388"/>
      <c r="M3" s="388"/>
      <c r="N3" s="388"/>
      <c r="O3" s="388"/>
      <c r="P3" s="761"/>
    </row>
    <row r="4" spans="1:25" ht="20.149999999999999" customHeight="1" thickTop="1" x14ac:dyDescent="0.7">
      <c r="A4" s="387"/>
      <c r="B4" s="563" t="s">
        <v>510</v>
      </c>
      <c r="C4" s="780"/>
      <c r="D4" s="564"/>
      <c r="E4" s="752" t="str">
        <f>SUBSTITUTE(Summary!$D$5,,Summary!$D$5)</f>
        <v/>
      </c>
      <c r="F4" s="753"/>
      <c r="G4" s="753"/>
      <c r="H4" s="753"/>
      <c r="I4" s="753"/>
      <c r="J4" s="753"/>
      <c r="K4" s="753"/>
      <c r="L4" s="753"/>
      <c r="M4" s="753"/>
      <c r="N4" s="753"/>
      <c r="O4" s="754"/>
      <c r="P4" s="761"/>
      <c r="Q4" s="3"/>
      <c r="R4" s="3"/>
      <c r="S4" s="3"/>
      <c r="T4" s="3"/>
      <c r="U4" s="3"/>
      <c r="V4" s="3"/>
      <c r="W4" s="3"/>
      <c r="X4" s="3"/>
      <c r="Y4" s="3"/>
    </row>
    <row r="5" spans="1:25" ht="20.149999999999999" customHeight="1" x14ac:dyDescent="0.7">
      <c r="A5" s="387"/>
      <c r="B5" s="585" t="s">
        <v>66</v>
      </c>
      <c r="C5" s="775"/>
      <c r="D5" s="586"/>
      <c r="E5" s="767" t="str">
        <f>SUBSTITUTE(Summary!D7,,Summary!D7)</f>
        <v/>
      </c>
      <c r="F5" s="768"/>
      <c r="G5" s="768"/>
      <c r="H5" s="768"/>
      <c r="I5" s="768"/>
      <c r="J5" s="768"/>
      <c r="K5" s="768"/>
      <c r="L5" s="768"/>
      <c r="M5" s="768"/>
      <c r="N5" s="768"/>
      <c r="O5" s="769"/>
      <c r="P5" s="761"/>
      <c r="Q5" s="3"/>
      <c r="R5" s="3"/>
      <c r="S5" s="3"/>
      <c r="T5" s="3"/>
      <c r="U5" s="3"/>
      <c r="V5" s="3"/>
      <c r="W5" s="3"/>
      <c r="X5" s="3"/>
      <c r="Y5" s="3"/>
    </row>
    <row r="6" spans="1:25" ht="20.149999999999999" customHeight="1" x14ac:dyDescent="0.7">
      <c r="A6" s="387"/>
      <c r="B6" s="585" t="s">
        <v>100</v>
      </c>
      <c r="C6" s="775"/>
      <c r="D6" s="586"/>
      <c r="E6" s="767" t="str">
        <f>SUBSTITUTE(Summary!D8,,Summary!D8)</f>
        <v/>
      </c>
      <c r="F6" s="768"/>
      <c r="G6" s="768"/>
      <c r="H6" s="768"/>
      <c r="I6" s="768"/>
      <c r="J6" s="768"/>
      <c r="K6" s="768"/>
      <c r="L6" s="768"/>
      <c r="M6" s="768"/>
      <c r="N6" s="768"/>
      <c r="O6" s="769"/>
      <c r="P6" s="761"/>
      <c r="Q6" s="3"/>
      <c r="R6" s="3"/>
      <c r="S6" s="3"/>
      <c r="T6" s="3"/>
      <c r="U6" s="3"/>
      <c r="V6" s="3"/>
      <c r="W6" s="3"/>
      <c r="X6" s="3"/>
      <c r="Y6" s="3"/>
    </row>
    <row r="7" spans="1:25" ht="20.149999999999999" customHeight="1" thickBot="1" x14ac:dyDescent="0.85">
      <c r="A7" s="387"/>
      <c r="B7" s="764" t="s">
        <v>299</v>
      </c>
      <c r="C7" s="765"/>
      <c r="D7" s="766"/>
      <c r="E7" s="770" t="str">
        <f>SUBSTITUTE(Summary!D9,,Summary!D9)</f>
        <v/>
      </c>
      <c r="F7" s="765"/>
      <c r="G7" s="765"/>
      <c r="H7" s="765"/>
      <c r="I7" s="765"/>
      <c r="J7" s="765"/>
      <c r="K7" s="765"/>
      <c r="L7" s="765"/>
      <c r="M7" s="765"/>
      <c r="N7" s="765"/>
      <c r="O7" s="771"/>
      <c r="P7" s="761"/>
      <c r="Q7" s="3"/>
      <c r="R7" s="3"/>
      <c r="S7" s="3"/>
      <c r="T7" s="3"/>
      <c r="U7" s="3"/>
      <c r="V7" s="3"/>
      <c r="W7" s="3"/>
      <c r="X7" s="3"/>
      <c r="Y7" s="3"/>
    </row>
    <row r="8" spans="1:25" ht="15" customHeight="1" thickTop="1" x14ac:dyDescent="0.6">
      <c r="A8" s="387"/>
      <c r="B8" s="20"/>
      <c r="C8" s="16"/>
      <c r="D8" s="16"/>
      <c r="E8" s="16"/>
      <c r="F8" s="16"/>
      <c r="G8" s="16"/>
      <c r="H8" s="16"/>
      <c r="I8" s="16"/>
      <c r="J8" s="16"/>
      <c r="K8" s="16"/>
      <c r="L8" s="16"/>
      <c r="M8" s="16"/>
      <c r="N8" s="16"/>
      <c r="O8" s="16"/>
      <c r="P8" s="761"/>
      <c r="Q8" s="3"/>
      <c r="R8" s="3"/>
      <c r="S8" s="3"/>
      <c r="T8" s="3"/>
      <c r="U8" s="3"/>
      <c r="V8" s="3"/>
      <c r="W8" s="3"/>
      <c r="X8" s="3"/>
      <c r="Y8" s="3"/>
    </row>
    <row r="9" spans="1:25" ht="15" customHeight="1" thickBot="1" x14ac:dyDescent="0.75">
      <c r="A9" s="387"/>
      <c r="B9" s="52"/>
      <c r="C9" s="16"/>
      <c r="D9" s="16"/>
      <c r="E9" s="16"/>
      <c r="F9" s="16"/>
      <c r="G9" s="16"/>
      <c r="H9" s="16"/>
      <c r="I9" s="16"/>
      <c r="J9" s="16"/>
      <c r="K9" s="16"/>
      <c r="L9" s="16"/>
      <c r="M9" s="16"/>
      <c r="N9" s="16"/>
      <c r="O9" s="16"/>
      <c r="P9" s="761"/>
      <c r="Q9" s="3"/>
      <c r="R9" s="3"/>
      <c r="S9" s="3"/>
      <c r="T9" s="3"/>
      <c r="U9" s="3"/>
      <c r="V9" s="3"/>
      <c r="W9" s="3"/>
      <c r="X9" s="3"/>
      <c r="Y9" s="3"/>
    </row>
    <row r="10" spans="1:25" s="3" customFormat="1" ht="16.149999999999999" customHeight="1" thickTop="1" x14ac:dyDescent="0.6">
      <c r="A10" s="387"/>
      <c r="B10" s="849" t="s">
        <v>10</v>
      </c>
      <c r="C10" s="784" t="s">
        <v>277</v>
      </c>
      <c r="D10" s="846"/>
      <c r="E10" s="61" t="s">
        <v>11</v>
      </c>
      <c r="F10" s="61" t="s">
        <v>105</v>
      </c>
      <c r="G10" s="61" t="s">
        <v>107</v>
      </c>
      <c r="H10" s="730" t="s">
        <v>124</v>
      </c>
      <c r="I10" s="774" t="s">
        <v>815</v>
      </c>
      <c r="J10" s="730" t="s">
        <v>128</v>
      </c>
      <c r="K10" s="730" t="s">
        <v>129</v>
      </c>
      <c r="L10" s="61"/>
      <c r="M10" s="730" t="s">
        <v>338</v>
      </c>
      <c r="N10" s="326"/>
      <c r="O10" s="782" t="s">
        <v>108</v>
      </c>
      <c r="P10" s="761"/>
    </row>
    <row r="11" spans="1:25" s="3" customFormat="1" ht="78" x14ac:dyDescent="0.6">
      <c r="A11" s="387"/>
      <c r="B11" s="464"/>
      <c r="C11" s="847"/>
      <c r="D11" s="848"/>
      <c r="E11" s="43" t="s">
        <v>814</v>
      </c>
      <c r="F11" s="62" t="s">
        <v>165</v>
      </c>
      <c r="G11" s="62" t="s">
        <v>213</v>
      </c>
      <c r="H11" s="465"/>
      <c r="I11" s="465"/>
      <c r="J11" s="465"/>
      <c r="K11" s="465"/>
      <c r="L11" s="43" t="s">
        <v>790</v>
      </c>
      <c r="M11" s="465"/>
      <c r="N11" s="325" t="s">
        <v>791</v>
      </c>
      <c r="O11" s="783"/>
      <c r="P11" s="761"/>
    </row>
    <row r="12" spans="1:25" ht="20.149999999999999" customHeight="1" x14ac:dyDescent="0.6">
      <c r="A12" s="387"/>
      <c r="B12" s="276" t="s">
        <v>572</v>
      </c>
      <c r="C12" s="796" t="s">
        <v>573</v>
      </c>
      <c r="D12" s="797"/>
      <c r="E12" s="270" t="s">
        <v>573</v>
      </c>
      <c r="F12" s="277" t="s">
        <v>574</v>
      </c>
      <c r="G12" s="277" t="s">
        <v>574</v>
      </c>
      <c r="H12" s="96">
        <f>IF(AND($E12="Novice",$F12="1st"),'Point Schedule'!$C$42,IF(AND($E12="Novice",$F12="2nd"),'Point Schedule'!$C$43,IF(AND($E12="Novice",$F12="3rd"),'Point Schedule'!$C$44,IF(AND($E12="Novice",$F12="4th"),'Point Schedule'!$C$45,0))))</f>
        <v>0</v>
      </c>
      <c r="I12" s="96">
        <f>IF(AND($E12="Intermediate",$F12="1st"),'Point Schedule'!$C$42,IF(AND($E12="Intermediate",$F12="2nd"),'Point Schedule'!$C$43,IF(AND($E12="Intermediate",$F12="3rd"),'Point Schedule'!$C$44,IF(AND($E12="Intermediate",$F12="4th"),'Point Schedule'!$C$45,0))))</f>
        <v>0</v>
      </c>
      <c r="J12" s="96">
        <f>IF(AND($E12="Advanced",$F12="1st"),'Point Schedule'!$E$42,IF(AND($E12="Advanced",$F12="2nd"),'Point Schedule'!$E$43,IF(AND($E12="Advanced",$F12="3rd"),'Point Schedule'!$E$44,IF(AND($E12="Advanced",$F12="4th"),'Point Schedule'!$E$45,0))))</f>
        <v>0</v>
      </c>
      <c r="K12" s="96">
        <f>IF(AND($E12="Master",$F12="1st"),'Point Schedule'!$G$42,IF(AND($E12="Master",$F12="2nd"),'Point Schedule'!$G$43,IF(AND($E12="Master",$F12="3rd"),'Point Schedule'!$G$44,IF(AND($E12="Master",$F12="4th"),'Point Schedule'!$G$45,0))))</f>
        <v>0</v>
      </c>
      <c r="L12" s="96">
        <f>IF(AND($E12="Master",$F12="1st"),'Point Schedule'!$I$42,IF(AND($E12="Master",$F12="2nd"),'Point Schedule'!$I$43,IF(AND($E12="Master",$F12="3rd"),'Point Schedule'!$I$44,IF(AND($E12="Master",$F12="4th"),'Point Schedule'!$I$45,0))))</f>
        <v>0</v>
      </c>
      <c r="M12" s="162">
        <f>IF(AND($B12=$B13,AND($G12=$G13),NOT($G12=0),NOT($B12=0),NOT($E12=$E13)),'Point Schedule'!$C$50,0)</f>
        <v>0</v>
      </c>
      <c r="N12" s="73">
        <f>IF(AND($E12="Master",$G12="Yes"),'Point Schedule'!$I$47,0)</f>
        <v>0</v>
      </c>
      <c r="O12" s="73">
        <f>IF(AND($E12="Novice",$G12="Yes"),'Point Schedule'!$C$47,IF(AND($E12="Advanced",$G12="Yes"),'Point Schedule'!$E$47,IF(AND($E12="Excellent",$G12="Yes"),'Point Schedule'!$G$47,0)))</f>
        <v>0</v>
      </c>
      <c r="P12" s="761"/>
      <c r="Q12" s="3"/>
      <c r="R12" s="3"/>
      <c r="S12" s="3"/>
      <c r="T12" s="3"/>
      <c r="U12" s="3"/>
      <c r="V12" s="3"/>
      <c r="W12" s="3"/>
      <c r="X12" s="3"/>
      <c r="Y12" s="3"/>
    </row>
    <row r="13" spans="1:25" ht="20.149999999999999" customHeight="1" x14ac:dyDescent="0.6">
      <c r="A13" s="387"/>
      <c r="B13" s="285"/>
      <c r="C13" s="545"/>
      <c r="D13" s="547"/>
      <c r="E13" s="205"/>
      <c r="F13" s="205"/>
      <c r="G13" s="205"/>
      <c r="H13" s="96">
        <f>IF(AND($E13="Novice",$F13="1st"),'Point Schedule'!$C$42,IF(AND($E13="Novice",$F13="2nd"),'Point Schedule'!$C$43,IF(AND($E13="Novice",$F13="3rd"),'Point Schedule'!$C$44,IF(AND($E13="Novice",$F13="4th"),'Point Schedule'!$C$45,0))))</f>
        <v>0</v>
      </c>
      <c r="I13" s="96">
        <f>IF(AND($E13="Intermediate",$F13="1st"),'Point Schedule'!$C$42,IF(AND($E13="Intermediate",$F13="2nd"),'Point Schedule'!$C$43,IF(AND($E13="Intermediate",$F13="3rd"),'Point Schedule'!$C$44,IF(AND($E13="Intermediate",$F13="4th"),'Point Schedule'!$C$45,0))))</f>
        <v>0</v>
      </c>
      <c r="J13" s="96">
        <f>IF(AND($E13="Advanced",$F13="1st"),'Point Schedule'!$E$42,IF(AND($E13="Advanced",$F13="2nd"),'Point Schedule'!$E$43,IF(AND($E13="Advanced",$F13="3rd"),'Point Schedule'!$E$44,IF(AND($E13="Advanced",$F13="4th"),'Point Schedule'!$E$45,0))))</f>
        <v>0</v>
      </c>
      <c r="K13" s="96">
        <f>IF(AND($E13="Excellent",$F13="1st"),'Point Schedule'!$G$42,IF(AND($E13="Excellent",$F13="2nd"),'Point Schedule'!$G$43,IF(AND($E13="Excellent",$F13="3rd"),'Point Schedule'!$G$44,IF(AND($E13="Excellent",$F13="4th"),'Point Schedule'!$G$45,0))))</f>
        <v>0</v>
      </c>
      <c r="L13" s="96">
        <f>IF(AND($E13="Master",$F13="1st"),'Point Schedule'!$I$42,IF(AND($E13="Master",$F13="2nd"),'Point Schedule'!$I$43,IF(AND($E13="Master",$F13="3rd"),'Point Schedule'!$I$44,IF(AND($E13="Master",$F13="4th"),'Point Schedule'!$I$45,0))))</f>
        <v>0</v>
      </c>
      <c r="M13" s="162">
        <f>IF(AND($B13=$B14,AND($G13=$G14),NOT($G13=0),NOT($B13=0),NOT($E13=$E14)),'Point Schedule'!$C$50,0)</f>
        <v>0</v>
      </c>
      <c r="N13" s="73">
        <f>IF(AND($E13="Master",$G13="Yes"),'Point Schedule'!$I$47,0)</f>
        <v>0</v>
      </c>
      <c r="O13" s="73">
        <f>IF(AND($E13="Novice",$G13="Yes"),'Point Schedule'!$C$47,IF(AND($E13="Advanced",$G13="Yes"),'Point Schedule'!$E$47,IF(AND($E13="Excellent",$G13="Yes"),'Point Schedule'!$G$47,0)))</f>
        <v>0</v>
      </c>
      <c r="P13" s="761"/>
      <c r="Q13" s="3"/>
      <c r="R13" s="3"/>
      <c r="S13" s="3"/>
      <c r="T13" s="3"/>
      <c r="U13" s="3"/>
      <c r="V13" s="3"/>
      <c r="W13" s="3"/>
      <c r="X13" s="3"/>
      <c r="Y13" s="3"/>
    </row>
    <row r="14" spans="1:25" ht="20.149999999999999" customHeight="1" x14ac:dyDescent="0.6">
      <c r="A14" s="387"/>
      <c r="B14" s="285"/>
      <c r="C14" s="545"/>
      <c r="D14" s="547"/>
      <c r="E14" s="205"/>
      <c r="F14" s="205"/>
      <c r="G14" s="205"/>
      <c r="H14" s="96">
        <f>IF(AND($E14="Novice",$F14="1st"),'Point Schedule'!$C$42,IF(AND($E14="Novice",$F14="2nd"),'Point Schedule'!$C$43,IF(AND($E14="Novice",$F14="3rd"),'Point Schedule'!$C$44,IF(AND($E14="Novice",$F14="4th"),'Point Schedule'!$C$45,0))))</f>
        <v>0</v>
      </c>
      <c r="I14" s="96">
        <f>IF(AND($E14="Intermediate",$F14="1st"),'Point Schedule'!$C$42,IF(AND($E14="Intermediate",$F14="2nd"),'Point Schedule'!$C$43,IF(AND($E14="Intermediate",$F14="3rd"),'Point Schedule'!$C$44,IF(AND($E14="Intermediate",$F14="4th"),'Point Schedule'!$C$45,0))))</f>
        <v>0</v>
      </c>
      <c r="J14" s="96">
        <f>IF(AND($E14="Advanced",$F14="1st"),'Point Schedule'!$E$42,IF(AND($E14="Advanced",$F14="2nd"),'Point Schedule'!$E$43,IF(AND($E14="Advanced",$F14="3rd"),'Point Schedule'!$E$44,IF(AND($E14="Advanced",$F14="4th"),'Point Schedule'!$E$45,0))))</f>
        <v>0</v>
      </c>
      <c r="K14" s="96">
        <f>IF(AND($E14="Excellent",$F14="1st"),'Point Schedule'!$G$42,IF(AND($E14="Excellent",$F14="2nd"),'Point Schedule'!$G$43,IF(AND($E14="Excellent",$F14="3rd"),'Point Schedule'!$G$44,IF(AND($E14="Excellent",$F14="4th"),'Point Schedule'!$G$45,0))))</f>
        <v>0</v>
      </c>
      <c r="L14" s="96">
        <f>IF(AND($E14="Master",$F14="1st"),'Point Schedule'!$I$42,IF(AND($E14="Master",$F14="2nd"),'Point Schedule'!$I$43,IF(AND($E14="Master",$F14="3rd"),'Point Schedule'!$I$44,IF(AND($E14="Master",$F14="4th"),'Point Schedule'!$I$45,0))))</f>
        <v>0</v>
      </c>
      <c r="M14" s="162">
        <f>IF(AND($B14=$B15,AND($G14=$G15),NOT($G14=0),NOT($B14=0),NOT($E14=$E15)),'Point Schedule'!$C$50,0)</f>
        <v>0</v>
      </c>
      <c r="N14" s="73">
        <f>IF(AND($E14="Master",$G14="Yes"),'Point Schedule'!$I$47,0)</f>
        <v>0</v>
      </c>
      <c r="O14" s="73">
        <f>IF(AND($E14="Novice",$G14="Yes"),'Point Schedule'!$C$47,IF(AND($E14="Advanced",$G14="Yes"),'Point Schedule'!$E$47,IF(AND($E14="Excellent",$G14="Yes"),'Point Schedule'!$G$47,0)))</f>
        <v>0</v>
      </c>
      <c r="P14" s="761"/>
      <c r="Q14" s="3"/>
      <c r="R14" s="3"/>
      <c r="S14" s="3"/>
      <c r="T14" s="3"/>
      <c r="U14" s="3"/>
      <c r="V14" s="3"/>
      <c r="W14" s="3"/>
      <c r="X14" s="3"/>
      <c r="Y14" s="3"/>
    </row>
    <row r="15" spans="1:25" ht="20.149999999999999" customHeight="1" x14ac:dyDescent="0.6">
      <c r="A15" s="387"/>
      <c r="B15" s="285"/>
      <c r="C15" s="545"/>
      <c r="D15" s="547"/>
      <c r="E15" s="205"/>
      <c r="F15" s="205"/>
      <c r="G15" s="205"/>
      <c r="H15" s="96">
        <f>IF(AND($E15="Novice",$F15="1st"),'Point Schedule'!$C$42,IF(AND($E15="Novice",$F15="2nd"),'Point Schedule'!$C$43,IF(AND($E15="Novice",$F15="3rd"),'Point Schedule'!$C$44,IF(AND($E15="Novice",$F15="4th"),'Point Schedule'!$C$45,0))))</f>
        <v>0</v>
      </c>
      <c r="I15" s="96">
        <f>IF(AND($E15="Intermediate",$F15="1st"),'Point Schedule'!$C$42,IF(AND($E15="Intermediate",$F15="2nd"),'Point Schedule'!$C$43,IF(AND($E15="Intermediate",$F15="3rd"),'Point Schedule'!$C$44,IF(AND($E15="Intermediate",$F15="4th"),'Point Schedule'!$C$45,0))))</f>
        <v>0</v>
      </c>
      <c r="J15" s="96">
        <f>IF(AND($E15="Advanced",$F15="1st"),'Point Schedule'!$E$42,IF(AND($E15="Advanced",$F15="2nd"),'Point Schedule'!$E$43,IF(AND($E15="Advanced",$F15="3rd"),'Point Schedule'!$E$44,IF(AND($E15="Advanced",$F15="4th"),'Point Schedule'!$E$45,0))))</f>
        <v>0</v>
      </c>
      <c r="K15" s="96">
        <f>IF(AND($E15="Excellent",$F15="1st"),'Point Schedule'!$G$42,IF(AND($E15="Excellent",$F15="2nd"),'Point Schedule'!$G$43,IF(AND($E15="Excellent",$F15="3rd"),'Point Schedule'!$G$44,IF(AND($E15="Excellent",$F15="4th"),'Point Schedule'!$G$45,0))))</f>
        <v>0</v>
      </c>
      <c r="L15" s="96">
        <f>IF(AND($E15="Master",$F15="1st"),'Point Schedule'!$I$42,IF(AND($E15="Master",$F15="2nd"),'Point Schedule'!$I$43,IF(AND($E15="Master",$F15="3rd"),'Point Schedule'!$I$44,IF(AND($E15="Master",$F15="4th"),'Point Schedule'!$I$45,0))))</f>
        <v>0</v>
      </c>
      <c r="M15" s="162">
        <f>IF(AND($B15=$B16,AND($G15=$G16),NOT($G15=0),NOT($B15=0),NOT($E15=$E16)),'Point Schedule'!$C$50,0)</f>
        <v>0</v>
      </c>
      <c r="N15" s="73">
        <f>IF(AND($E15="Master",$G15="Yes"),'Point Schedule'!$I$47,0)</f>
        <v>0</v>
      </c>
      <c r="O15" s="73">
        <f>IF(AND($E15="Novice",$G15="Yes"),'Point Schedule'!$C$47,IF(AND($E15="Advanced",$G15="Yes"),'Point Schedule'!$E$47,IF(AND($E15="Excellent",$G15="Yes"),'Point Schedule'!$G$47,0)))</f>
        <v>0</v>
      </c>
      <c r="P15" s="761"/>
      <c r="Q15" s="3"/>
      <c r="R15" s="3"/>
      <c r="S15" s="3"/>
      <c r="T15" s="3"/>
      <c r="U15" s="3"/>
      <c r="V15" s="3"/>
      <c r="W15" s="3"/>
      <c r="X15" s="3"/>
      <c r="Y15" s="3"/>
    </row>
    <row r="16" spans="1:25" ht="20.149999999999999" customHeight="1" x14ac:dyDescent="0.6">
      <c r="A16" s="387"/>
      <c r="B16" s="204"/>
      <c r="C16" s="545"/>
      <c r="D16" s="547"/>
      <c r="E16" s="205"/>
      <c r="F16" s="205"/>
      <c r="G16" s="205"/>
      <c r="H16" s="96">
        <f>IF(AND($E16="Novice",$F16="1st"),'Point Schedule'!$C$42,IF(AND($E16="Novice",$F16="2nd"),'Point Schedule'!$C$43,IF(AND($E16="Novice",$F16="3rd"),'Point Schedule'!$C$44,IF(AND($E16="Novice",$F16="4th"),'Point Schedule'!$C$45,0))))</f>
        <v>0</v>
      </c>
      <c r="I16" s="96">
        <f>IF(AND($E16="Intermediate",$F16="1st"),'Point Schedule'!$C$42,IF(AND($E16="Intermediate",$F16="2nd"),'Point Schedule'!$C$43,IF(AND($E16="Intermediate",$F16="3rd"),'Point Schedule'!$C$44,IF(AND($E16="Intermediate",$F16="4th"),'Point Schedule'!$C$45,0))))</f>
        <v>0</v>
      </c>
      <c r="J16" s="96">
        <f>IF(AND($E16="Advanced",$F16="1st"),'Point Schedule'!$E$42,IF(AND($E16="Advanced",$F16="2nd"),'Point Schedule'!$E$43,IF(AND($E16="Advanced",$F16="3rd"),'Point Schedule'!$E$44,IF(AND($E16="Advanced",$F16="4th"),'Point Schedule'!$E$45,0))))</f>
        <v>0</v>
      </c>
      <c r="K16" s="96">
        <f>IF(AND($E16="Excellent",$F16="1st"),'Point Schedule'!$G$42,IF(AND($E16="Excellent",$F16="2nd"),'Point Schedule'!$G$43,IF(AND($E16="Excellent",$F16="3rd"),'Point Schedule'!$G$44,IF(AND($E16="Excellent",$F16="4th"),'Point Schedule'!$G$45,0))))</f>
        <v>0</v>
      </c>
      <c r="L16" s="96">
        <f>IF(AND($E16="Master",$F16="1st"),'Point Schedule'!$I$42,IF(AND($E16="Master",$F16="2nd"),'Point Schedule'!$I$43,IF(AND($E16="Master",$F16="3rd"),'Point Schedule'!$I$44,IF(AND($E16="Master",$F16="4th"),'Point Schedule'!$I$45,0))))</f>
        <v>0</v>
      </c>
      <c r="M16" s="162">
        <f>IF(AND($B16=$B17,AND($G16=$G17),NOT($G16=0),NOT($B16=0),NOT($E16=$E17)),'Point Schedule'!$C$50,0)</f>
        <v>0</v>
      </c>
      <c r="N16" s="73">
        <f>IF(AND($E16="Master",$G16="Yes"),'Point Schedule'!$I$47,0)</f>
        <v>0</v>
      </c>
      <c r="O16" s="73">
        <f>IF(AND($E16="Novice",$G16="Yes"),'Point Schedule'!$C$47,IF(AND($E16="Advanced",$G16="Yes"),'Point Schedule'!$E$47,IF(AND($E16="Excellent",$G16="Yes"),'Point Schedule'!$G$47,0)))</f>
        <v>0</v>
      </c>
      <c r="P16" s="761"/>
      <c r="Q16" s="3"/>
      <c r="R16" s="3"/>
      <c r="S16" s="3"/>
      <c r="T16" s="3"/>
      <c r="U16" s="3"/>
      <c r="V16" s="3"/>
      <c r="W16" s="3"/>
      <c r="X16" s="3"/>
      <c r="Y16" s="3"/>
    </row>
    <row r="17" spans="1:25" ht="20.149999999999999" customHeight="1" x14ac:dyDescent="0.6">
      <c r="A17" s="387"/>
      <c r="B17" s="204"/>
      <c r="C17" s="545"/>
      <c r="D17" s="547"/>
      <c r="E17" s="205"/>
      <c r="F17" s="205"/>
      <c r="G17" s="205"/>
      <c r="H17" s="96">
        <f>IF(AND($E17="Novice",$F17="1st"),'Point Schedule'!$C$42,IF(AND($E17="Novice",$F17="2nd"),'Point Schedule'!$C$43,IF(AND($E17="Novice",$F17="3rd"),'Point Schedule'!$C$44,IF(AND($E17="Novice",$F17="4th"),'Point Schedule'!$C$45,0))))</f>
        <v>0</v>
      </c>
      <c r="I17" s="96">
        <f>IF(AND($E17="Intermediate",$F17="1st"),'Point Schedule'!$C$42,IF(AND($E17="Intermediate",$F17="2nd"),'Point Schedule'!$C$43,IF(AND($E17="Intermediate",$F17="3rd"),'Point Schedule'!$C$44,IF(AND($E17="Intermediate",$F17="4th"),'Point Schedule'!$C$45,0))))</f>
        <v>0</v>
      </c>
      <c r="J17" s="96">
        <f>IF(AND($E17="Advanced",$F17="1st"),'Point Schedule'!$E$42,IF(AND($E17="Advanced",$F17="2nd"),'Point Schedule'!$E$43,IF(AND($E17="Advanced",$F17="3rd"),'Point Schedule'!$E$44,IF(AND($E17="Advanced",$F17="4th"),'Point Schedule'!$E$45,0))))</f>
        <v>0</v>
      </c>
      <c r="K17" s="96">
        <f>IF(AND($E17="Excellent",$F17="1st"),'Point Schedule'!$G$42,IF(AND($E17="Excellent",$F17="2nd"),'Point Schedule'!$G$43,IF(AND($E17="Excellent",$F17="3rd"),'Point Schedule'!$G$44,IF(AND($E17="Excellent",$F17="4th"),'Point Schedule'!$G$45,0))))</f>
        <v>0</v>
      </c>
      <c r="L17" s="96">
        <f>IF(AND($E17="Master",$F17="1st"),'Point Schedule'!$I$42,IF(AND($E17="Master",$F17="2nd"),'Point Schedule'!$I$43,IF(AND($E17="Master",$F17="3rd"),'Point Schedule'!$I$44,IF(AND($E17="Master",$F17="4th"),'Point Schedule'!$I$45,0))))</f>
        <v>0</v>
      </c>
      <c r="M17" s="162">
        <f>IF(AND($B17=$B18,AND($G17=$G18),NOT($G17=0),NOT($B17=0),NOT($E17=$E18)),'Point Schedule'!$C$50,0)</f>
        <v>0</v>
      </c>
      <c r="N17" s="73">
        <f>IF(AND($E17="Master",$G17="Yes"),'Point Schedule'!$I$47,0)</f>
        <v>0</v>
      </c>
      <c r="O17" s="73">
        <f>IF(AND($E17="Novice",$G17="Yes"),'Point Schedule'!$C$47,IF(AND($E17="Advanced",$G17="Yes"),'Point Schedule'!$E$47,IF(AND($E17="Excellent",$G17="Yes"),'Point Schedule'!$G$47,0)))</f>
        <v>0</v>
      </c>
      <c r="P17" s="761"/>
      <c r="Q17" s="3"/>
      <c r="R17" s="3"/>
      <c r="S17" s="3"/>
      <c r="T17" s="3"/>
      <c r="U17" s="3"/>
      <c r="V17" s="3"/>
      <c r="W17" s="3"/>
      <c r="X17" s="3"/>
      <c r="Y17" s="3"/>
    </row>
    <row r="18" spans="1:25" ht="20.149999999999999" customHeight="1" x14ac:dyDescent="0.6">
      <c r="A18" s="387"/>
      <c r="B18" s="204"/>
      <c r="C18" s="545"/>
      <c r="D18" s="547"/>
      <c r="E18" s="205"/>
      <c r="F18" s="205"/>
      <c r="G18" s="205"/>
      <c r="H18" s="96">
        <f>IF(AND($E18="Novice",$F18="1st"),'Point Schedule'!$C$42,IF(AND($E18="Novice",$F18="2nd"),'Point Schedule'!$C$43,IF(AND($E18="Novice",$F18="3rd"),'Point Schedule'!$C$44,IF(AND($E18="Novice",$F18="4th"),'Point Schedule'!$C$45,0))))</f>
        <v>0</v>
      </c>
      <c r="I18" s="96">
        <f>IF(AND($E18="Intermediate",$F18="1st"),'Point Schedule'!$C$42,IF(AND($E18="Intermediate",$F18="2nd"),'Point Schedule'!$C$43,IF(AND($E18="Intermediate",$F18="3rd"),'Point Schedule'!$C$44,IF(AND($E18="Intermediate",$F18="4th"),'Point Schedule'!$C$45,0))))</f>
        <v>0</v>
      </c>
      <c r="J18" s="96">
        <f>IF(AND($E18="Advanced",$F18="1st"),'Point Schedule'!$E$42,IF(AND($E18="Advanced",$F18="2nd"),'Point Schedule'!$E$43,IF(AND($E18="Advanced",$F18="3rd"),'Point Schedule'!$E$44,IF(AND($E18="Advanced",$F18="4th"),'Point Schedule'!$E$45,0))))</f>
        <v>0</v>
      </c>
      <c r="K18" s="96">
        <f>IF(AND($E18="Excellent",$F18="1st"),'Point Schedule'!$G$42,IF(AND($E18="Excellent",$F18="2nd"),'Point Schedule'!$G$43,IF(AND($E18="Excellent",$F18="3rd"),'Point Schedule'!$G$44,IF(AND($E18="Excellent",$F18="4th"),'Point Schedule'!$G$45,0))))</f>
        <v>0</v>
      </c>
      <c r="L18" s="96">
        <f>IF(AND($E18="Master",$F18="1st"),'Point Schedule'!$I$42,IF(AND($E18="Master",$F18="2nd"),'Point Schedule'!$I$43,IF(AND($E18="Master",$F18="3rd"),'Point Schedule'!$I$44,IF(AND($E18="Master",$F18="4th"),'Point Schedule'!$I$45,0))))</f>
        <v>0</v>
      </c>
      <c r="M18" s="162">
        <f>IF(AND($B18=$B19,AND($G18=$G19),NOT($G18=0),NOT($B18=0),NOT($E18=$E19)),'Point Schedule'!$C$50,0)</f>
        <v>0</v>
      </c>
      <c r="N18" s="73">
        <f>IF(AND($E18="Master",$G18="Yes"),'Point Schedule'!$I$47,0)</f>
        <v>0</v>
      </c>
      <c r="O18" s="73">
        <f>IF(AND($E18="Novice",$G18="Yes"),'Point Schedule'!$C$47,IF(AND($E18="Advanced",$G18="Yes"),'Point Schedule'!$E$47,IF(AND($E18="Excellent",$G18="Yes"),'Point Schedule'!$G$47,0)))</f>
        <v>0</v>
      </c>
      <c r="P18" s="761"/>
      <c r="Q18" s="3"/>
      <c r="R18" s="3"/>
      <c r="S18" s="3"/>
      <c r="T18" s="3"/>
      <c r="U18" s="3"/>
      <c r="V18" s="3"/>
      <c r="W18" s="3"/>
      <c r="X18" s="3"/>
      <c r="Y18" s="3"/>
    </row>
    <row r="19" spans="1:25" ht="20.149999999999999" customHeight="1" x14ac:dyDescent="0.6">
      <c r="A19" s="387"/>
      <c r="B19" s="204"/>
      <c r="C19" s="545"/>
      <c r="D19" s="547"/>
      <c r="E19" s="205"/>
      <c r="F19" s="205"/>
      <c r="G19" s="205"/>
      <c r="H19" s="96">
        <f>IF(AND($E19="Novice",$F19="1st"),'Point Schedule'!$C$42,IF(AND($E19="Novice",$F19="2nd"),'Point Schedule'!$C$43,IF(AND($E19="Novice",$F19="3rd"),'Point Schedule'!$C$44,IF(AND($E19="Novice",$F19="4th"),'Point Schedule'!$C$45,0))))</f>
        <v>0</v>
      </c>
      <c r="I19" s="96">
        <f>IF(AND($E19="Intermediate",$F19="1st"),'Point Schedule'!$C$42,IF(AND($E19="Intermediate",$F19="2nd"),'Point Schedule'!$C$43,IF(AND($E19="Intermediate",$F19="3rd"),'Point Schedule'!$C$44,IF(AND($E19="Intermediate",$F19="4th"),'Point Schedule'!$C$45,0))))</f>
        <v>0</v>
      </c>
      <c r="J19" s="96">
        <f>IF(AND($E19="Advanced",$F19="1st"),'Point Schedule'!$E$42,IF(AND($E19="Advanced",$F19="2nd"),'Point Schedule'!$E$43,IF(AND($E19="Advanced",$F19="3rd"),'Point Schedule'!$E$44,IF(AND($E19="Advanced",$F19="4th"),'Point Schedule'!$E$45,0))))</f>
        <v>0</v>
      </c>
      <c r="K19" s="96">
        <f>IF(AND($E19="Excellent",$F19="1st"),'Point Schedule'!$G$42,IF(AND($E19="Excellent",$F19="2nd"),'Point Schedule'!$G$43,IF(AND($E19="Excellent",$F19="3rd"),'Point Schedule'!$G$44,IF(AND($E19="Excellent",$F19="4th"),'Point Schedule'!$G$45,0))))</f>
        <v>0</v>
      </c>
      <c r="L19" s="96">
        <f>IF(AND($E19="Master",$F19="1st"),'Point Schedule'!$I$42,IF(AND($E19="Master",$F19="2nd"),'Point Schedule'!$I$43,IF(AND($E19="Master",$F19="3rd"),'Point Schedule'!$I$44,IF(AND($E19="Master",$F19="4th"),'Point Schedule'!$I$45,0))))</f>
        <v>0</v>
      </c>
      <c r="M19" s="162">
        <f>IF(AND($B19=$B20,AND($G19=$G20),NOT($G19=0),NOT($B19=0),NOT($E19=$E20)),'Point Schedule'!$C$50,0)</f>
        <v>0</v>
      </c>
      <c r="N19" s="73">
        <f>IF(AND($E19="Master",$G19="Yes"),'Point Schedule'!$I$47,0)</f>
        <v>0</v>
      </c>
      <c r="O19" s="73">
        <f>IF(AND($E19="Novice",$G19="Yes"),'Point Schedule'!$C$47,IF(AND($E19="Advanced",$G19="Yes"),'Point Schedule'!$E$47,IF(AND($E19="Excellent",$G19="Yes"),'Point Schedule'!$G$47,0)))</f>
        <v>0</v>
      </c>
      <c r="P19" s="761"/>
      <c r="Q19" s="3"/>
      <c r="R19" s="3"/>
      <c r="S19" s="3"/>
      <c r="T19" s="3"/>
      <c r="U19" s="3"/>
      <c r="V19" s="3"/>
      <c r="W19" s="3"/>
      <c r="X19" s="3"/>
      <c r="Y19" s="3"/>
    </row>
    <row r="20" spans="1:25" ht="20.149999999999999" customHeight="1" x14ac:dyDescent="0.6">
      <c r="A20" s="387"/>
      <c r="B20" s="204"/>
      <c r="C20" s="545"/>
      <c r="D20" s="547"/>
      <c r="E20" s="205"/>
      <c r="F20" s="205"/>
      <c r="G20" s="205"/>
      <c r="H20" s="96">
        <f>IF(AND($E20="Novice",$F20="1st"),'Point Schedule'!$C$42,IF(AND($E20="Novice",$F20="2nd"),'Point Schedule'!$C$43,IF(AND($E20="Novice",$F20="3rd"),'Point Schedule'!$C$44,IF(AND($E20="Novice",$F20="4th"),'Point Schedule'!$C$45,0))))</f>
        <v>0</v>
      </c>
      <c r="I20" s="96">
        <f>IF(AND($E20="Intermediate",$F20="1st"),'Point Schedule'!$C$42,IF(AND($E20="Intermediate",$F20="2nd"),'Point Schedule'!$C$43,IF(AND($E20="Intermediate",$F20="3rd"),'Point Schedule'!$C$44,IF(AND($E20="Intermediate",$F20="4th"),'Point Schedule'!$C$45,0))))</f>
        <v>0</v>
      </c>
      <c r="J20" s="96">
        <f>IF(AND($E20="Advanced",$F20="1st"),'Point Schedule'!$E$42,IF(AND($E20="Advanced",$F20="2nd"),'Point Schedule'!$E$43,IF(AND($E20="Advanced",$F20="3rd"),'Point Schedule'!$E$44,IF(AND($E20="Advanced",$F20="4th"),'Point Schedule'!$E$45,0))))</f>
        <v>0</v>
      </c>
      <c r="K20" s="96">
        <f>IF(AND($E20="Excellent",$F20="1st"),'Point Schedule'!$G$42,IF(AND($E20="Excellent",$F20="2nd"),'Point Schedule'!$G$43,IF(AND($E20="Excellent",$F20="3rd"),'Point Schedule'!$G$44,IF(AND($E20="Excellent",$F20="4th"),'Point Schedule'!$G$45,0))))</f>
        <v>0</v>
      </c>
      <c r="L20" s="96">
        <f>IF(AND($E20="Master",$F20="1st"),'Point Schedule'!$I$42,IF(AND($E20="Master",$F20="2nd"),'Point Schedule'!$I$43,IF(AND($E20="Master",$F20="3rd"),'Point Schedule'!$I$44,IF(AND($E20="Master",$F20="4th"),'Point Schedule'!$I$45,0))))</f>
        <v>0</v>
      </c>
      <c r="M20" s="162">
        <f>IF(AND($B20=$B21,AND($G20=$G21),NOT($G20=0),NOT($B20=0),NOT($E20=$E21)),'Point Schedule'!$C$50,0)</f>
        <v>0</v>
      </c>
      <c r="N20" s="73">
        <f>IF(AND($E20="Master",$G20="Yes"),'Point Schedule'!$I$47,0)</f>
        <v>0</v>
      </c>
      <c r="O20" s="73">
        <f>IF(AND($E20="Novice",$G20="Yes"),'Point Schedule'!$C$47,IF(AND($E20="Advanced",$G20="Yes"),'Point Schedule'!$E$47,IF(AND($E20="Excellent",$G20="Yes"),'Point Schedule'!$G$47,0)))</f>
        <v>0</v>
      </c>
      <c r="P20" s="761"/>
      <c r="Q20" s="3"/>
      <c r="R20" s="3"/>
      <c r="S20" s="3"/>
      <c r="T20" s="3"/>
      <c r="U20" s="3"/>
      <c r="V20" s="3"/>
      <c r="W20" s="3"/>
      <c r="X20" s="3"/>
      <c r="Y20" s="3"/>
    </row>
    <row r="21" spans="1:25" ht="20.149999999999999" customHeight="1" x14ac:dyDescent="0.6">
      <c r="A21" s="387"/>
      <c r="B21" s="204"/>
      <c r="C21" s="545"/>
      <c r="D21" s="547"/>
      <c r="E21" s="205"/>
      <c r="F21" s="205"/>
      <c r="G21" s="205"/>
      <c r="H21" s="96">
        <f>IF(AND($E21="Novice",$F21="1st"),'Point Schedule'!$C$42,IF(AND($E21="Novice",$F21="2nd"),'Point Schedule'!$C$43,IF(AND($E21="Novice",$F21="3rd"),'Point Schedule'!$C$44,IF(AND($E21="Novice",$F21="4th"),'Point Schedule'!$C$45,0))))</f>
        <v>0</v>
      </c>
      <c r="I21" s="96">
        <f>IF(AND($E21="Intermediate",$F21="1st"),'Point Schedule'!$C$42,IF(AND($E21="Intermediate",$F21="2nd"),'Point Schedule'!$C$43,IF(AND($E21="Intermediate",$F21="3rd"),'Point Schedule'!$C$44,IF(AND($E21="Intermediate",$F21="4th"),'Point Schedule'!$C$45,0))))</f>
        <v>0</v>
      </c>
      <c r="J21" s="96">
        <f>IF(AND($E21="Advanced",$F21="1st"),'Point Schedule'!$E$42,IF(AND($E21="Advanced",$F21="2nd"),'Point Schedule'!$E$43,IF(AND($E21="Advanced",$F21="3rd"),'Point Schedule'!$E$44,IF(AND($E21="Advanced",$F21="4th"),'Point Schedule'!$E$45,0))))</f>
        <v>0</v>
      </c>
      <c r="K21" s="96">
        <f>IF(AND($E21="Excellent",$F21="1st"),'Point Schedule'!$G$42,IF(AND($E21="Excellent",$F21="2nd"),'Point Schedule'!$G$43,IF(AND($E21="Excellent",$F21="3rd"),'Point Schedule'!$G$44,IF(AND($E21="Excellent",$F21="4th"),'Point Schedule'!$G$45,0))))</f>
        <v>0</v>
      </c>
      <c r="L21" s="96">
        <f>IF(AND($E21="Master",$F21="1st"),'Point Schedule'!$I$42,IF(AND($E21="Master",$F21="2nd"),'Point Schedule'!$I$43,IF(AND($E21="Master",$F21="3rd"),'Point Schedule'!$I$44,IF(AND($E21="Master",$F21="4th"),'Point Schedule'!$I$45,0))))</f>
        <v>0</v>
      </c>
      <c r="M21" s="162">
        <f>IF(AND($B21=$B22,AND($G21=$G22),NOT($G21=0),NOT($B21=0),NOT($E21=$E22)),'Point Schedule'!$C$50,0)</f>
        <v>0</v>
      </c>
      <c r="N21" s="73">
        <f>IF(AND($E21="Master",$G21="Yes"),'Point Schedule'!$I$47,0)</f>
        <v>0</v>
      </c>
      <c r="O21" s="73">
        <f>IF(AND($E21="Novice",$G21="Yes"),'Point Schedule'!$C$47,IF(AND($E21="Advanced",$G21="Yes"),'Point Schedule'!$E$47,IF(AND($E21="Excellent",$G21="Yes"),'Point Schedule'!$G$47,0)))</f>
        <v>0</v>
      </c>
      <c r="P21" s="761"/>
      <c r="Q21" s="3"/>
      <c r="R21" s="3"/>
      <c r="S21" s="3"/>
      <c r="T21" s="3"/>
      <c r="U21" s="3"/>
      <c r="V21" s="3"/>
      <c r="W21" s="3"/>
      <c r="X21" s="3"/>
      <c r="Y21" s="3"/>
    </row>
    <row r="22" spans="1:25" ht="20.149999999999999" customHeight="1" x14ac:dyDescent="0.6">
      <c r="A22" s="387"/>
      <c r="B22" s="204"/>
      <c r="C22" s="545"/>
      <c r="D22" s="547"/>
      <c r="E22" s="205"/>
      <c r="F22" s="205"/>
      <c r="G22" s="205"/>
      <c r="H22" s="96">
        <f>IF(AND($E22="Novice",$F22="1st"),'Point Schedule'!$C$42,IF(AND($E22="Novice",$F22="2nd"),'Point Schedule'!$C$43,IF(AND($E22="Novice",$F22="3rd"),'Point Schedule'!$C$44,IF(AND($E22="Novice",$F22="4th"),'Point Schedule'!$C$45,0))))</f>
        <v>0</v>
      </c>
      <c r="I22" s="96">
        <f>IF(AND($E22="Intermediate",$F22="1st"),'Point Schedule'!$C$42,IF(AND($E22="Intermediate",$F22="2nd"),'Point Schedule'!$C$43,IF(AND($E22="Intermediate",$F22="3rd"),'Point Schedule'!$C$44,IF(AND($E22="Intermediate",$F22="4th"),'Point Schedule'!$C$45,0))))</f>
        <v>0</v>
      </c>
      <c r="J22" s="96">
        <f>IF(AND($E22="Advanced",$F22="1st"),'Point Schedule'!$E$42,IF(AND($E22="Advanced",$F22="2nd"),'Point Schedule'!$E$43,IF(AND($E22="Advanced",$F22="3rd"),'Point Schedule'!$E$44,IF(AND($E22="Advanced",$F22="4th"),'Point Schedule'!$E$45,0))))</f>
        <v>0</v>
      </c>
      <c r="K22" s="96">
        <f>IF(AND($E22="Excellent",$F22="1st"),'Point Schedule'!$G$42,IF(AND($E22="Excellent",$F22="2nd"),'Point Schedule'!$G$43,IF(AND($E22="Excellent",$F22="3rd"),'Point Schedule'!$G$44,IF(AND($E22="Excellent",$F22="4th"),'Point Schedule'!$G$45,0))))</f>
        <v>0</v>
      </c>
      <c r="L22" s="96">
        <f>IF(AND($E22="Master",$F22="1st"),'Point Schedule'!$I$42,IF(AND($E22="Master",$F22="2nd"),'Point Schedule'!$I$43,IF(AND($E22="Master",$F22="3rd"),'Point Schedule'!$I$44,IF(AND($E22="Master",$F22="4th"),'Point Schedule'!$I$45,0))))</f>
        <v>0</v>
      </c>
      <c r="M22" s="162">
        <f>IF(AND($B22=$B23,AND($G22=$G23),NOT($G22=0),NOT($B22=0),NOT($E22=$E23)),'Point Schedule'!$C$50,0)</f>
        <v>0</v>
      </c>
      <c r="N22" s="73">
        <f>IF(AND($E22="Master",$G22="Yes"),'Point Schedule'!$I$47,0)</f>
        <v>0</v>
      </c>
      <c r="O22" s="73">
        <f>IF(AND($E22="Novice",$G22="Yes"),'Point Schedule'!$C$47,IF(AND($E22="Advanced",$G22="Yes"),'Point Schedule'!$E$47,IF(AND($E22="Excellent",$G22="Yes"),'Point Schedule'!$G$47,0)))</f>
        <v>0</v>
      </c>
      <c r="P22" s="761"/>
      <c r="Q22" s="3"/>
      <c r="R22" s="3"/>
      <c r="S22" s="3"/>
      <c r="T22" s="3"/>
      <c r="U22" s="3"/>
      <c r="V22" s="3"/>
      <c r="W22" s="3"/>
      <c r="X22" s="3"/>
      <c r="Y22" s="3"/>
    </row>
    <row r="23" spans="1:25" ht="20.149999999999999" customHeight="1" x14ac:dyDescent="0.6">
      <c r="A23" s="387"/>
      <c r="B23" s="204"/>
      <c r="C23" s="545"/>
      <c r="D23" s="547"/>
      <c r="E23" s="205"/>
      <c r="F23" s="205"/>
      <c r="G23" s="205"/>
      <c r="H23" s="96">
        <f>IF(AND($E23="Novice",$F23="1st"),'Point Schedule'!$C$42,IF(AND($E23="Novice",$F23="2nd"),'Point Schedule'!$C$43,IF(AND($E23="Novice",$F23="3rd"),'Point Schedule'!$C$44,IF(AND($E23="Novice",$F23="4th"),'Point Schedule'!$C$45,0))))</f>
        <v>0</v>
      </c>
      <c r="I23" s="96">
        <f>IF(AND($E23="Intermediate",$F23="1st"),'Point Schedule'!$C$42,IF(AND($E23="Intermediate",$F23="2nd"),'Point Schedule'!$C$43,IF(AND($E23="Intermediate",$F23="3rd"),'Point Schedule'!$C$44,IF(AND($E23="Intermediate",$F23="4th"),'Point Schedule'!$C$45,0))))</f>
        <v>0</v>
      </c>
      <c r="J23" s="96">
        <f>IF(AND($E23="Advanced",$F23="1st"),'Point Schedule'!$E$42,IF(AND($E23="Advanced",$F23="2nd"),'Point Schedule'!$E$43,IF(AND($E23="Advanced",$F23="3rd"),'Point Schedule'!$E$44,IF(AND($E23="Advanced",$F23="4th"),'Point Schedule'!$E$45,0))))</f>
        <v>0</v>
      </c>
      <c r="K23" s="96">
        <f>IF(AND($E23="Excellent",$F23="1st"),'Point Schedule'!$G$42,IF(AND($E23="Excellent",$F23="2nd"),'Point Schedule'!$G$43,IF(AND($E23="Excellent",$F23="3rd"),'Point Schedule'!$G$44,IF(AND($E23="Excellent",$F23="4th"),'Point Schedule'!$G$45,0))))</f>
        <v>0</v>
      </c>
      <c r="L23" s="96">
        <f>IF(AND($E23="Master",$F23="1st"),'Point Schedule'!$I$42,IF(AND($E23="Master",$F23="2nd"),'Point Schedule'!$I$43,IF(AND($E23="Master",$F23="3rd"),'Point Schedule'!$I$44,IF(AND($E23="Master",$F23="4th"),'Point Schedule'!$I$45,0))))</f>
        <v>0</v>
      </c>
      <c r="M23" s="162">
        <f>IF(AND($B23=$B24,AND($G23=$G24),NOT($G23=0),NOT($B23=0),NOT($E23=$E24)),'Point Schedule'!$C$50,0)</f>
        <v>0</v>
      </c>
      <c r="N23" s="73">
        <f>IF(AND($E23="Master",$G23="Yes"),'Point Schedule'!$I$47,0)</f>
        <v>0</v>
      </c>
      <c r="O23" s="73">
        <f>IF(AND($E23="Novice",$G23="Yes"),'Point Schedule'!$C$47,IF(AND($E23="Advanced",$G23="Yes"),'Point Schedule'!$E$47,IF(AND($E23="Excellent",$G23="Yes"),'Point Schedule'!$G$47,0)))</f>
        <v>0</v>
      </c>
      <c r="P23" s="761"/>
      <c r="Q23" s="3"/>
      <c r="R23" s="3"/>
      <c r="S23" s="3"/>
      <c r="T23" s="3"/>
      <c r="U23" s="3"/>
      <c r="V23" s="3"/>
      <c r="W23" s="3"/>
      <c r="X23" s="3"/>
      <c r="Y23" s="3"/>
    </row>
    <row r="24" spans="1:25" ht="20.149999999999999" customHeight="1" x14ac:dyDescent="0.6">
      <c r="A24" s="387"/>
      <c r="B24" s="204"/>
      <c r="C24" s="545"/>
      <c r="D24" s="547"/>
      <c r="E24" s="205"/>
      <c r="F24" s="205"/>
      <c r="G24" s="205"/>
      <c r="H24" s="96">
        <f>IF(AND($E24="Novice",$F24="1st"),'Point Schedule'!$C$42,IF(AND($E24="Novice",$F24="2nd"),'Point Schedule'!$C$43,IF(AND($E24="Novice",$F24="3rd"),'Point Schedule'!$C$44,IF(AND($E24="Novice",$F24="4th"),'Point Schedule'!$C$45,0))))</f>
        <v>0</v>
      </c>
      <c r="I24" s="96">
        <f>IF(AND($E24="Intermediate",$F24="1st"),'Point Schedule'!$C$42,IF(AND($E24="Intermediate",$F24="2nd"),'Point Schedule'!$C$43,IF(AND($E24="Intermediate",$F24="3rd"),'Point Schedule'!$C$44,IF(AND($E24="Intermediate",$F24="4th"),'Point Schedule'!$C$45,0))))</f>
        <v>0</v>
      </c>
      <c r="J24" s="96">
        <f>IF(AND($E24="Advanced",$F24="1st"),'Point Schedule'!$E$42,IF(AND($E24="Advanced",$F24="2nd"),'Point Schedule'!$E$43,IF(AND($E24="Advanced",$F24="3rd"),'Point Schedule'!$E$44,IF(AND($E24="Advanced",$F24="4th"),'Point Schedule'!$E$45,0))))</f>
        <v>0</v>
      </c>
      <c r="K24" s="96">
        <f>IF(AND($E24="Excellent",$F24="1st"),'Point Schedule'!$G$42,IF(AND($E24="Excellent",$F24="2nd"),'Point Schedule'!$G$43,IF(AND($E24="Excellent",$F24="3rd"),'Point Schedule'!$G$44,IF(AND($E24="Excellent",$F24="4th"),'Point Schedule'!$G$45,0))))</f>
        <v>0</v>
      </c>
      <c r="L24" s="96">
        <f>IF(AND($E24="Master",$F24="1st"),'Point Schedule'!$I$42,IF(AND($E24="Master",$F24="2nd"),'Point Schedule'!$I$43,IF(AND($E24="Master",$F24="3rd"),'Point Schedule'!$I$44,IF(AND($E24="Master",$F24="4th"),'Point Schedule'!$I$45,0))))</f>
        <v>0</v>
      </c>
      <c r="M24" s="162">
        <f>IF(AND($B24=$B25,AND($G24=$G25),NOT($G24=0),NOT($B24=0),NOT($E24=$E25)),'Point Schedule'!$C$50,0)</f>
        <v>0</v>
      </c>
      <c r="N24" s="73">
        <f>IF(AND($E24="Master",$G24="Yes"),'Point Schedule'!$I$47,0)</f>
        <v>0</v>
      </c>
      <c r="O24" s="73">
        <f>IF(AND($E24="Novice",$G24="Yes"),'Point Schedule'!$C$47,IF(AND($E24="Advanced",$G24="Yes"),'Point Schedule'!$E$47,IF(AND($E24="Excellent",$G24="Yes"),'Point Schedule'!$G$47,0)))</f>
        <v>0</v>
      </c>
      <c r="P24" s="761"/>
      <c r="Q24" s="3"/>
      <c r="R24" s="3"/>
      <c r="S24" s="3"/>
      <c r="T24" s="3"/>
      <c r="U24" s="3"/>
      <c r="V24" s="3"/>
      <c r="W24" s="3"/>
      <c r="X24" s="3"/>
      <c r="Y24" s="3"/>
    </row>
    <row r="25" spans="1:25" ht="20.149999999999999" customHeight="1" x14ac:dyDescent="0.6">
      <c r="A25" s="387"/>
      <c r="B25" s="204"/>
      <c r="C25" s="545"/>
      <c r="D25" s="547"/>
      <c r="E25" s="205"/>
      <c r="F25" s="205"/>
      <c r="G25" s="205"/>
      <c r="H25" s="96">
        <f>IF(AND($E25="Novice",$F25="1st"),'Point Schedule'!$C$42,IF(AND($E25="Novice",$F25="2nd"),'Point Schedule'!$C$43,IF(AND($E25="Novice",$F25="3rd"),'Point Schedule'!$C$44,IF(AND($E25="Novice",$F25="4th"),'Point Schedule'!$C$45,0))))</f>
        <v>0</v>
      </c>
      <c r="I25" s="96">
        <f>IF(AND($E25="Intermediate",$F25="1st"),'Point Schedule'!$C$42,IF(AND($E25="Intermediate",$F25="2nd"),'Point Schedule'!$C$43,IF(AND($E25="Intermediate",$F25="3rd"),'Point Schedule'!$C$44,IF(AND($E25="Intermediate",$F25="4th"),'Point Schedule'!$C$45,0))))</f>
        <v>0</v>
      </c>
      <c r="J25" s="96">
        <f>IF(AND($E25="Advanced",$F25="1st"),'Point Schedule'!$E$42,IF(AND($E25="Advanced",$F25="2nd"),'Point Schedule'!$E$43,IF(AND($E25="Advanced",$F25="3rd"),'Point Schedule'!$E$44,IF(AND($E25="Advanced",$F25="4th"),'Point Schedule'!$E$45,0))))</f>
        <v>0</v>
      </c>
      <c r="K25" s="96">
        <f>IF(AND($E25="Excellent",$F25="1st"),'Point Schedule'!$G$42,IF(AND($E25="Excellent",$F25="2nd"),'Point Schedule'!$G$43,IF(AND($E25="Excellent",$F25="3rd"),'Point Schedule'!$G$44,IF(AND($E25="Excellent",$F25="4th"),'Point Schedule'!$G$45,0))))</f>
        <v>0</v>
      </c>
      <c r="L25" s="96">
        <f>IF(AND($E25="Master",$F25="1st"),'Point Schedule'!$I$42,IF(AND($E25="Master",$F25="2nd"),'Point Schedule'!$I$43,IF(AND($E25="Master",$F25="3rd"),'Point Schedule'!$I$44,IF(AND($E25="Master",$F25="4th"),'Point Schedule'!$I$45,0))))</f>
        <v>0</v>
      </c>
      <c r="M25" s="162">
        <f>IF(AND($B25=$B26,AND($G25=$G26),NOT($G25=0),NOT($B25=0),NOT($E25=$E26)),'Point Schedule'!$C$50,0)</f>
        <v>0</v>
      </c>
      <c r="N25" s="73">
        <f>IF(AND($E25="Master",$G25="Yes"),'Point Schedule'!$I$47,0)</f>
        <v>0</v>
      </c>
      <c r="O25" s="73">
        <f>IF(AND($E25="Novice",$G25="Yes"),'Point Schedule'!$C$47,IF(AND($E25="Advanced",$G25="Yes"),'Point Schedule'!$E$47,IF(AND($E25="Excellent",$G25="Yes"),'Point Schedule'!$G$47,0)))</f>
        <v>0</v>
      </c>
      <c r="P25" s="761"/>
      <c r="Q25" s="3"/>
      <c r="R25" s="3"/>
      <c r="S25" s="3"/>
      <c r="T25" s="3"/>
      <c r="U25" s="3"/>
      <c r="V25" s="3"/>
      <c r="W25" s="3"/>
      <c r="X25" s="3"/>
      <c r="Y25" s="3"/>
    </row>
    <row r="26" spans="1:25" ht="20.149999999999999" customHeight="1" x14ac:dyDescent="0.6">
      <c r="A26" s="387"/>
      <c r="B26" s="204"/>
      <c r="C26" s="545"/>
      <c r="D26" s="547"/>
      <c r="E26" s="205"/>
      <c r="F26" s="205"/>
      <c r="G26" s="205"/>
      <c r="H26" s="96">
        <f>IF(AND($E26="Novice",$F26="1st"),'Point Schedule'!$C$42,IF(AND($E26="Novice",$F26="2nd"),'Point Schedule'!$C$43,IF(AND($E26="Novice",$F26="3rd"),'Point Schedule'!$C$44,IF(AND($E26="Novice",$F26="4th"),'Point Schedule'!$C$45,0))))</f>
        <v>0</v>
      </c>
      <c r="I26" s="96">
        <f>IF(AND($E26="Intermediate",$F26="1st"),'Point Schedule'!$C$42,IF(AND($E26="Intermediate",$F26="2nd"),'Point Schedule'!$C$43,IF(AND($E26="Intermediate",$F26="3rd"),'Point Schedule'!$C$44,IF(AND($E26="Intermediate",$F26="4th"),'Point Schedule'!$C$45,0))))</f>
        <v>0</v>
      </c>
      <c r="J26" s="96">
        <f>IF(AND($E26="Advanced",$F26="1st"),'Point Schedule'!$E$42,IF(AND($E26="Advanced",$F26="2nd"),'Point Schedule'!$E$43,IF(AND($E26="Advanced",$F26="3rd"),'Point Schedule'!$E$44,IF(AND($E26="Advanced",$F26="4th"),'Point Schedule'!$E$45,0))))</f>
        <v>0</v>
      </c>
      <c r="K26" s="96">
        <f>IF(AND($E26="Excellent",$F26="1st"),'Point Schedule'!$G$42,IF(AND($E26="Excellent",$F26="2nd"),'Point Schedule'!$G$43,IF(AND($E26="Excellent",$F26="3rd"),'Point Schedule'!$G$44,IF(AND($E26="Excellent",$F26="4th"),'Point Schedule'!$G$45,0))))</f>
        <v>0</v>
      </c>
      <c r="L26" s="96">
        <f>IF(AND($E26="Master",$F26="1st"),'Point Schedule'!$I$42,IF(AND($E26="Master",$F26="2nd"),'Point Schedule'!$I$43,IF(AND($E26="Master",$F26="3rd"),'Point Schedule'!$I$44,IF(AND($E26="Master",$F26="4th"),'Point Schedule'!$I$45,0))))</f>
        <v>0</v>
      </c>
      <c r="M26" s="162">
        <f>IF(AND($B26=$B27,AND($G26=$G27),NOT($G26=0),NOT($B26=0),NOT($E26=$E27)),'Point Schedule'!$C$50,0)</f>
        <v>0</v>
      </c>
      <c r="N26" s="73">
        <f>IF(AND($E26="Master",$G26="Yes"),'Point Schedule'!$I$47,0)</f>
        <v>0</v>
      </c>
      <c r="O26" s="73">
        <f>IF(AND($E26="Novice",$G26="Yes"),'Point Schedule'!$C$47,IF(AND($E26="Advanced",$G26="Yes"),'Point Schedule'!$E$47,IF(AND($E26="Excellent",$G26="Yes"),'Point Schedule'!$G$47,0)))</f>
        <v>0</v>
      </c>
      <c r="P26" s="761"/>
      <c r="Q26" s="3"/>
      <c r="R26" s="3"/>
      <c r="S26" s="3"/>
      <c r="T26" s="3"/>
      <c r="U26" s="3"/>
      <c r="V26" s="3"/>
      <c r="W26" s="3"/>
      <c r="X26" s="3"/>
      <c r="Y26" s="3"/>
    </row>
    <row r="27" spans="1:25" ht="20.149999999999999" customHeight="1" x14ac:dyDescent="0.6">
      <c r="A27" s="387"/>
      <c r="B27" s="204"/>
      <c r="C27" s="545"/>
      <c r="D27" s="547"/>
      <c r="E27" s="205"/>
      <c r="F27" s="205"/>
      <c r="G27" s="205"/>
      <c r="H27" s="96">
        <f>IF(AND($E27="Novice",$F27="1st"),'Point Schedule'!$C$42,IF(AND($E27="Novice",$F27="2nd"),'Point Schedule'!$C$43,IF(AND($E27="Novice",$F27="3rd"),'Point Schedule'!$C$44,IF(AND($E27="Novice",$F27="4th"),'Point Schedule'!$C$45,0))))</f>
        <v>0</v>
      </c>
      <c r="I27" s="96">
        <f>IF(AND($E27="Intermediate",$F27="1st"),'Point Schedule'!$C$42,IF(AND($E27="Intermediate",$F27="2nd"),'Point Schedule'!$C$43,IF(AND($E27="Intermediate",$F27="3rd"),'Point Schedule'!$C$44,IF(AND($E27="Intermediate",$F27="4th"),'Point Schedule'!$C$45,0))))</f>
        <v>0</v>
      </c>
      <c r="J27" s="96">
        <f>IF(AND($E27="Advanced",$F27="1st"),'Point Schedule'!$E$42,IF(AND($E27="Advanced",$F27="2nd"),'Point Schedule'!$E$43,IF(AND($E27="Advanced",$F27="3rd"),'Point Schedule'!$E$44,IF(AND($E27="Advanced",$F27="4th"),'Point Schedule'!$E$45,0))))</f>
        <v>0</v>
      </c>
      <c r="K27" s="96">
        <f>IF(AND($E27="Excellent",$F27="1st"),'Point Schedule'!$G$42,IF(AND($E27="Excellent",$F27="2nd"),'Point Schedule'!$G$43,IF(AND($E27="Excellent",$F27="3rd"),'Point Schedule'!$G$44,IF(AND($E27="Excellent",$F27="4th"),'Point Schedule'!$G$45,0))))</f>
        <v>0</v>
      </c>
      <c r="L27" s="96">
        <f>IF(AND($E27="Master",$F27="1st"),'Point Schedule'!$I$42,IF(AND($E27="Master",$F27="2nd"),'Point Schedule'!$I$43,IF(AND($E27="Master",$F27="3rd"),'Point Schedule'!$I$44,IF(AND($E27="Master",$F27="4th"),'Point Schedule'!$I$45,0))))</f>
        <v>0</v>
      </c>
      <c r="M27" s="162">
        <f>IF(AND($B27=$B28,AND($G27=$G28),NOT($G27=0),NOT($B27=0),NOT($E27=$E28)),'Point Schedule'!$C$50,0)</f>
        <v>0</v>
      </c>
      <c r="N27" s="73">
        <f>IF(AND($E27="Master",$G27="Yes"),'Point Schedule'!$I$47,0)</f>
        <v>0</v>
      </c>
      <c r="O27" s="73">
        <f>IF(AND($E27="Novice",$G27="Yes"),'Point Schedule'!$C$47,IF(AND($E27="Advanced",$G27="Yes"),'Point Schedule'!$E$47,IF(AND($E27="Excellent",$G27="Yes"),'Point Schedule'!$G$47,0)))</f>
        <v>0</v>
      </c>
      <c r="P27" s="761"/>
      <c r="Q27" s="3"/>
      <c r="R27" s="3"/>
      <c r="S27" s="3"/>
      <c r="T27" s="3"/>
      <c r="U27" s="3"/>
      <c r="V27" s="3"/>
      <c r="W27" s="3"/>
      <c r="X27" s="3"/>
      <c r="Y27" s="3"/>
    </row>
    <row r="28" spans="1:25" ht="20.149999999999999" customHeight="1" x14ac:dyDescent="0.6">
      <c r="A28" s="387"/>
      <c r="B28" s="204"/>
      <c r="C28" s="545"/>
      <c r="D28" s="547"/>
      <c r="E28" s="205"/>
      <c r="F28" s="205"/>
      <c r="G28" s="205"/>
      <c r="H28" s="96">
        <f>IF(AND($E28="Novice",$F28="1st"),'Point Schedule'!$C$42,IF(AND($E28="Novice",$F28="2nd"),'Point Schedule'!$C$43,IF(AND($E28="Novice",$F28="3rd"),'Point Schedule'!$C$44,IF(AND($E28="Novice",$F28="4th"),'Point Schedule'!$C$45,0))))</f>
        <v>0</v>
      </c>
      <c r="I28" s="96">
        <f>IF(AND($E28="Intermediate",$F28="1st"),'Point Schedule'!$C$42,IF(AND($E28="Intermediate",$F28="2nd"),'Point Schedule'!$C$43,IF(AND($E28="Intermediate",$F28="3rd"),'Point Schedule'!$C$44,IF(AND($E28="Intermediate",$F28="4th"),'Point Schedule'!$C$45,0))))</f>
        <v>0</v>
      </c>
      <c r="J28" s="96">
        <f>IF(AND($E28="Advanced",$F28="1st"),'Point Schedule'!$E$42,IF(AND($E28="Advanced",$F28="2nd"),'Point Schedule'!$E$43,IF(AND($E28="Advanced",$F28="3rd"),'Point Schedule'!$E$44,IF(AND($E28="Advanced",$F28="4th"),'Point Schedule'!$E$45,0))))</f>
        <v>0</v>
      </c>
      <c r="K28" s="96">
        <f>IF(AND($E28="Excellent",$F28="1st"),'Point Schedule'!$G$42,IF(AND($E28="Excellent",$F28="2nd"),'Point Schedule'!$G$43,IF(AND($E28="Excellent",$F28="3rd"),'Point Schedule'!$G$44,IF(AND($E28="Excellent",$F28="4th"),'Point Schedule'!$G$45,0))))</f>
        <v>0</v>
      </c>
      <c r="L28" s="96">
        <f>IF(AND($E28="Master",$F28="1st"),'Point Schedule'!$I$42,IF(AND($E28="Master",$F28="2nd"),'Point Schedule'!$I$43,IF(AND($E28="Master",$F28="3rd"),'Point Schedule'!$I$44,IF(AND($E28="Master",$F28="4th"),'Point Schedule'!$I$45,0))))</f>
        <v>0</v>
      </c>
      <c r="M28" s="162">
        <f>IF(AND($B28=$B29,AND($G28=$G29),NOT($G28=0),NOT($B28=0),NOT($E28=$E29)),'Point Schedule'!$C$50,0)</f>
        <v>0</v>
      </c>
      <c r="N28" s="73">
        <f>IF(AND($E28="Master",$G28="Yes"),'Point Schedule'!$I$47,0)</f>
        <v>0</v>
      </c>
      <c r="O28" s="73">
        <f>IF(AND($E28="Novice",$G28="Yes"),'Point Schedule'!$C$47,IF(AND($E28="Advanced",$G28="Yes"),'Point Schedule'!$E$47,IF(AND($E28="Excellent",$G28="Yes"),'Point Schedule'!$G$47,0)))</f>
        <v>0</v>
      </c>
      <c r="P28" s="761"/>
      <c r="Q28" s="3"/>
      <c r="R28" s="3"/>
      <c r="S28" s="3"/>
      <c r="T28" s="3"/>
      <c r="U28" s="3"/>
      <c r="V28" s="3"/>
      <c r="W28" s="3"/>
      <c r="X28" s="3"/>
      <c r="Y28" s="3"/>
    </row>
    <row r="29" spans="1:25" ht="20.149999999999999" customHeight="1" x14ac:dyDescent="0.6">
      <c r="A29" s="387"/>
      <c r="B29" s="204"/>
      <c r="C29" s="545"/>
      <c r="D29" s="547"/>
      <c r="E29" s="205"/>
      <c r="F29" s="205"/>
      <c r="G29" s="205"/>
      <c r="H29" s="96">
        <f>IF(AND($E29="Novice",$F29="1st"),'Point Schedule'!$C$42,IF(AND($E29="Novice",$F29="2nd"),'Point Schedule'!$C$43,IF(AND($E29="Novice",$F29="3rd"),'Point Schedule'!$C$44,IF(AND($E29="Novice",$F29="4th"),'Point Schedule'!$C$45,0))))</f>
        <v>0</v>
      </c>
      <c r="I29" s="96">
        <f>IF(AND($E29="Intermediate",$F29="1st"),'Point Schedule'!$C$42,IF(AND($E29="Intermediate",$F29="2nd"),'Point Schedule'!$C$43,IF(AND($E29="Intermediate",$F29="3rd"),'Point Schedule'!$C$44,IF(AND($E29="Intermediate",$F29="4th"),'Point Schedule'!$C$45,0))))</f>
        <v>0</v>
      </c>
      <c r="J29" s="96">
        <f>IF(AND($E29="Advanced",$F29="1st"),'Point Schedule'!$E$42,IF(AND($E29="Advanced",$F29="2nd"),'Point Schedule'!$E$43,IF(AND($E29="Advanced",$F29="3rd"),'Point Schedule'!$E$44,IF(AND($E29="Advanced",$F29="4th"),'Point Schedule'!$E$45,0))))</f>
        <v>0</v>
      </c>
      <c r="K29" s="96">
        <f>IF(AND($E29="Excellent",$F29="1st"),'Point Schedule'!$G$42,IF(AND($E29="Excellent",$F29="2nd"),'Point Schedule'!$G$43,IF(AND($E29="Excellent",$F29="3rd"),'Point Schedule'!$G$44,IF(AND($E29="Excellent",$F29="4th"),'Point Schedule'!$G$45,0))))</f>
        <v>0</v>
      </c>
      <c r="L29" s="96">
        <f>IF(AND($E29="Master",$F29="1st"),'Point Schedule'!$I$42,IF(AND($E29="Master",$F29="2nd"),'Point Schedule'!$I$43,IF(AND($E29="Master",$F29="3rd"),'Point Schedule'!$I$44,IF(AND($E29="Master",$F29="4th"),'Point Schedule'!$I$45,0))))</f>
        <v>0</v>
      </c>
      <c r="M29" s="162">
        <f>IF(AND($B29=$B78,AND($G29=$G78),NOT($G29=0),NOT($B29=0),NOT($E29=$E78)),'Point Schedule'!$C$50,0)</f>
        <v>0</v>
      </c>
      <c r="N29" s="73">
        <f>IF(AND($E29="Master",$G29="Yes"),'Point Schedule'!$I$47,0)</f>
        <v>0</v>
      </c>
      <c r="O29" s="73">
        <f>IF(AND($E29="Novice",$G29="Yes"),'Point Schedule'!$C$47,IF(AND($E29="Advanced",$G29="Yes"),'Point Schedule'!$E$47,IF(AND($E29="Excellent",$G29="Yes"),'Point Schedule'!$G$47,0)))</f>
        <v>0</v>
      </c>
      <c r="P29" s="761"/>
      <c r="Q29" s="3"/>
      <c r="R29" s="3"/>
      <c r="S29" s="3"/>
      <c r="T29" s="3"/>
      <c r="U29" s="3"/>
      <c r="V29" s="3"/>
      <c r="W29" s="3"/>
      <c r="X29" s="3"/>
      <c r="Y29" s="3"/>
    </row>
    <row r="30" spans="1:25" ht="20.149999999999999" customHeight="1" x14ac:dyDescent="0.6">
      <c r="A30" s="387"/>
      <c r="B30" s="204"/>
      <c r="C30" s="545"/>
      <c r="D30" s="547"/>
      <c r="E30" s="205"/>
      <c r="F30" s="205"/>
      <c r="G30" s="205"/>
      <c r="H30" s="96">
        <f>IF(AND($E30="Novice",$F30="1st"),'Point Schedule'!$C$42,IF(AND($E30="Novice",$F30="2nd"),'Point Schedule'!$C$43,IF(AND($E30="Novice",$F30="3rd"),'Point Schedule'!$C$44,IF(AND($E30="Novice",$F30="4th"),'Point Schedule'!$C$45,0))))</f>
        <v>0</v>
      </c>
      <c r="I30" s="96">
        <f>IF(AND($E30="Intermediate",$F30="1st"),'Point Schedule'!$C$42,IF(AND($E30="Intermediate",$F30="2nd"),'Point Schedule'!$C$43,IF(AND($E30="Intermediate",$F30="3rd"),'Point Schedule'!$C$44,IF(AND($E30="Intermediate",$F30="4th"),'Point Schedule'!$C$45,0))))</f>
        <v>0</v>
      </c>
      <c r="J30" s="96">
        <f>IF(AND($E30="Advanced",$F30="1st"),'Point Schedule'!$E$42,IF(AND($E30="Advanced",$F30="2nd"),'Point Schedule'!$E$43,IF(AND($E30="Advanced",$F30="3rd"),'Point Schedule'!$E$44,IF(AND($E30="Advanced",$F30="4th"),'Point Schedule'!$E$45,0))))</f>
        <v>0</v>
      </c>
      <c r="K30" s="96">
        <f>IF(AND($E30="Excellent",$F30="1st"),'Point Schedule'!$G$42,IF(AND($E30="Excellent",$F30="2nd"),'Point Schedule'!$G$43,IF(AND($E30="Excellent",$F30="3rd"),'Point Schedule'!$G$44,IF(AND($E30="Excellent",$F30="4th"),'Point Schedule'!$G$45,0))))</f>
        <v>0</v>
      </c>
      <c r="L30" s="96">
        <f>IF(AND($E30="Master",$F30="1st"),'Point Schedule'!$I$42,IF(AND($E30="Master",$F30="2nd"),'Point Schedule'!$I$43,IF(AND($E30="Master",$F30="3rd"),'Point Schedule'!$I$44,IF(AND($E30="Master",$F30="4th"),'Point Schedule'!$I$45,0))))</f>
        <v>0</v>
      </c>
      <c r="M30" s="162">
        <f>IF(AND($B30=$B79,AND($G30=$G79),NOT($G30=0),NOT($B30=0),NOT($E30=$E79)),'Point Schedule'!$C$50,0)</f>
        <v>0</v>
      </c>
      <c r="N30" s="73">
        <f>IF(AND($E30="Master",$G30="Yes"),'Point Schedule'!$I$47,0)</f>
        <v>0</v>
      </c>
      <c r="O30" s="73">
        <f>IF(AND($E30="Novice",$G30="Yes"),'Point Schedule'!$C$47,IF(AND($E30="Advanced",$G30="Yes"),'Point Schedule'!$E$47,IF(AND($E30="Excellent",$G30="Yes"),'Point Schedule'!$G$47,0)))</f>
        <v>0</v>
      </c>
      <c r="P30" s="761"/>
      <c r="Q30" s="3"/>
      <c r="R30" s="3"/>
      <c r="S30" s="3"/>
      <c r="T30" s="3"/>
      <c r="U30" s="3"/>
      <c r="V30" s="3"/>
      <c r="W30" s="3"/>
      <c r="X30" s="3"/>
      <c r="Y30" s="3"/>
    </row>
    <row r="31" spans="1:25" ht="20.149999999999999" customHeight="1" x14ac:dyDescent="0.6">
      <c r="A31" s="387"/>
      <c r="B31" s="204"/>
      <c r="C31" s="545"/>
      <c r="D31" s="547"/>
      <c r="E31" s="205"/>
      <c r="F31" s="205"/>
      <c r="G31" s="205"/>
      <c r="H31" s="96">
        <f>IF(AND($E31="Novice",$F31="1st"),'Point Schedule'!$C$42,IF(AND($E31="Novice",$F31="2nd"),'Point Schedule'!$C$43,IF(AND($E31="Novice",$F31="3rd"),'Point Schedule'!$C$44,IF(AND($E31="Novice",$F31="4th"),'Point Schedule'!$C$45,0))))</f>
        <v>0</v>
      </c>
      <c r="I31" s="96">
        <f>IF(AND($E31="Intermediate",$F31="1st"),'Point Schedule'!$C$42,IF(AND($E31="Intermediate",$F31="2nd"),'Point Schedule'!$C$43,IF(AND($E31="Intermediate",$F31="3rd"),'Point Schedule'!$C$44,IF(AND($E31="Intermediate",$F31="4th"),'Point Schedule'!$C$45,0))))</f>
        <v>0</v>
      </c>
      <c r="J31" s="96">
        <f>IF(AND($E31="Advanced",$F31="1st"),'Point Schedule'!$E$42,IF(AND($E31="Advanced",$F31="2nd"),'Point Schedule'!$E$43,IF(AND($E31="Advanced",$F31="3rd"),'Point Schedule'!$E$44,IF(AND($E31="Advanced",$F31="4th"),'Point Schedule'!$E$45,0))))</f>
        <v>0</v>
      </c>
      <c r="K31" s="96">
        <f>IF(AND($E31="Excellent",$F31="1st"),'Point Schedule'!$G$42,IF(AND($E31="Excellent",$F31="2nd"),'Point Schedule'!$G$43,IF(AND($E31="Excellent",$F31="3rd"),'Point Schedule'!$G$44,IF(AND($E31="Excellent",$F31="4th"),'Point Schedule'!$G$45,0))))</f>
        <v>0</v>
      </c>
      <c r="L31" s="96">
        <f>IF(AND($E31="Master",$F31="1st"),'Point Schedule'!$I$42,IF(AND($E31="Master",$F31="2nd"),'Point Schedule'!$I$43,IF(AND($E31="Master",$F31="3rd"),'Point Schedule'!$I$44,IF(AND($E31="Master",$F31="4th"),'Point Schedule'!$I$45,0))))</f>
        <v>0</v>
      </c>
      <c r="M31" s="162">
        <f>IF(AND($B31=$B80,AND($G31=$G80),NOT($G31=0),NOT($B31=0),NOT($E31=$E80)),'Point Schedule'!$C$50,0)</f>
        <v>0</v>
      </c>
      <c r="N31" s="73">
        <f>IF(AND($E31="Master",$G31="Yes"),'Point Schedule'!$I$47,0)</f>
        <v>0</v>
      </c>
      <c r="O31" s="73">
        <f>IF(AND($E31="Novice",$G31="Yes"),'Point Schedule'!$C$47,IF(AND($E31="Advanced",$G31="Yes"),'Point Schedule'!$E$47,IF(AND($E31="Excellent",$G31="Yes"),'Point Schedule'!$G$47,0)))</f>
        <v>0</v>
      </c>
      <c r="P31" s="761"/>
      <c r="Q31" s="3"/>
      <c r="R31" s="3"/>
      <c r="S31" s="3"/>
      <c r="T31" s="3"/>
      <c r="U31" s="3"/>
      <c r="V31" s="3"/>
      <c r="W31" s="3"/>
      <c r="X31" s="3"/>
      <c r="Y31" s="3"/>
    </row>
    <row r="32" spans="1:25" ht="20.149999999999999" customHeight="1" x14ac:dyDescent="0.6">
      <c r="A32" s="387"/>
      <c r="B32" s="204"/>
      <c r="C32" s="545"/>
      <c r="D32" s="547"/>
      <c r="E32" s="205"/>
      <c r="F32" s="205"/>
      <c r="G32" s="205"/>
      <c r="H32" s="96">
        <f>IF(AND($E32="Novice",$F32="1st"),'Point Schedule'!$C$42,IF(AND($E32="Novice",$F32="2nd"),'Point Schedule'!$C$43,IF(AND($E32="Novice",$F32="3rd"),'Point Schedule'!$C$44,IF(AND($E32="Novice",$F32="4th"),'Point Schedule'!$C$45,0))))</f>
        <v>0</v>
      </c>
      <c r="I32" s="96">
        <f>IF(AND($E32="Intermediate",$F32="1st"),'Point Schedule'!$C$42,IF(AND($E32="Intermediate",$F32="2nd"),'Point Schedule'!$C$43,IF(AND($E32="Intermediate",$F32="3rd"),'Point Schedule'!$C$44,IF(AND($E32="Intermediate",$F32="4th"),'Point Schedule'!$C$45,0))))</f>
        <v>0</v>
      </c>
      <c r="J32" s="96">
        <f>IF(AND($E32="Advanced",$F32="1st"),'Point Schedule'!$E$42,IF(AND($E32="Advanced",$F32="2nd"),'Point Schedule'!$E$43,IF(AND($E32="Advanced",$F32="3rd"),'Point Schedule'!$E$44,IF(AND($E32="Advanced",$F32="4th"),'Point Schedule'!$E$45,0))))</f>
        <v>0</v>
      </c>
      <c r="K32" s="96">
        <f>IF(AND($E32="Excellent",$F32="1st"),'Point Schedule'!$G$42,IF(AND($E32="Excellent",$F32="2nd"),'Point Schedule'!$G$43,IF(AND($E32="Excellent",$F32="3rd"),'Point Schedule'!$G$44,IF(AND($E32="Excellent",$F32="4th"),'Point Schedule'!$G$45,0))))</f>
        <v>0</v>
      </c>
      <c r="L32" s="96">
        <f>IF(AND($E32="Master",$F32="1st"),'Point Schedule'!$I$42,IF(AND($E32="Master",$F32="2nd"),'Point Schedule'!$I$43,IF(AND($E32="Master",$F32="3rd"),'Point Schedule'!$I$44,IF(AND($E32="Master",$F32="4th"),'Point Schedule'!$I$45,0))))</f>
        <v>0</v>
      </c>
      <c r="M32" s="162">
        <f>IF(AND($B32=$B81,AND($G32=$G81),NOT($G32=0),NOT($B32=0),NOT($E32=$E81)),'Point Schedule'!$C$50,0)</f>
        <v>0</v>
      </c>
      <c r="N32" s="73">
        <f>IF(AND($E32="Master",$G32="Yes"),'Point Schedule'!$I$47,0)</f>
        <v>0</v>
      </c>
      <c r="O32" s="73">
        <f>IF(AND($E32="Novice",$G32="Yes"),'Point Schedule'!$C$47,IF(AND($E32="Advanced",$G32="Yes"),'Point Schedule'!$E$47,IF(AND($E32="Excellent",$G32="Yes"),'Point Schedule'!$G$47,0)))</f>
        <v>0</v>
      </c>
      <c r="P32" s="761"/>
      <c r="Q32" s="3"/>
      <c r="R32" s="3"/>
      <c r="S32" s="3"/>
      <c r="T32" s="3"/>
      <c r="U32" s="3"/>
      <c r="V32" s="3"/>
      <c r="W32" s="3"/>
      <c r="X32" s="3"/>
      <c r="Y32" s="3"/>
    </row>
    <row r="33" spans="1:25" ht="20.149999999999999" customHeight="1" x14ac:dyDescent="0.6">
      <c r="A33" s="387"/>
      <c r="B33" s="204"/>
      <c r="C33" s="545"/>
      <c r="D33" s="547"/>
      <c r="E33" s="205"/>
      <c r="F33" s="205"/>
      <c r="G33" s="205"/>
      <c r="H33" s="96">
        <f>IF(AND($E33="Novice",$F33="1st"),'Point Schedule'!$C$42,IF(AND($E33="Novice",$F33="2nd"),'Point Schedule'!$C$43,IF(AND($E33="Novice",$F33="3rd"),'Point Schedule'!$C$44,IF(AND($E33="Novice",$F33="4th"),'Point Schedule'!$C$45,0))))</f>
        <v>0</v>
      </c>
      <c r="I33" s="96">
        <f>IF(AND($E33="Intermediate",$F33="1st"),'Point Schedule'!$C$42,IF(AND($E33="Intermediate",$F33="2nd"),'Point Schedule'!$C$43,IF(AND($E33="Intermediate",$F33="3rd"),'Point Schedule'!$C$44,IF(AND($E33="Intermediate",$F33="4th"),'Point Schedule'!$C$45,0))))</f>
        <v>0</v>
      </c>
      <c r="J33" s="96">
        <f>IF(AND($E33="Advanced",$F33="1st"),'Point Schedule'!$E$42,IF(AND($E33="Advanced",$F33="2nd"),'Point Schedule'!$E$43,IF(AND($E33="Advanced",$F33="3rd"),'Point Schedule'!$E$44,IF(AND($E33="Advanced",$F33="4th"),'Point Schedule'!$E$45,0))))</f>
        <v>0</v>
      </c>
      <c r="K33" s="96">
        <f>IF(AND($E33="Excellent",$F33="1st"),'Point Schedule'!$G$42,IF(AND($E33="Excellent",$F33="2nd"),'Point Schedule'!$G$43,IF(AND($E33="Excellent",$F33="3rd"),'Point Schedule'!$G$44,IF(AND($E33="Excellent",$F33="4th"),'Point Schedule'!$G$45,0))))</f>
        <v>0</v>
      </c>
      <c r="L33" s="96">
        <f>IF(AND($E33="Master",$F33="1st"),'Point Schedule'!$I$42,IF(AND($E33="Master",$F33="2nd"),'Point Schedule'!$I$43,IF(AND($E33="Master",$F33="3rd"),'Point Schedule'!$I$44,IF(AND($E33="Master",$F33="4th"),'Point Schedule'!$I$45,0))))</f>
        <v>0</v>
      </c>
      <c r="M33" s="162">
        <f>IF(AND($B33=$B82,AND($G33=$G82),NOT($G33=0),NOT($B33=0),NOT($E33=$E82)),'Point Schedule'!$C$50,0)</f>
        <v>0</v>
      </c>
      <c r="N33" s="73">
        <f>IF(AND($E33="Master",$G33="Yes"),'Point Schedule'!$I$47,0)</f>
        <v>0</v>
      </c>
      <c r="O33" s="73">
        <f>IF(AND($E33="Novice",$G33="Yes"),'Point Schedule'!$C$47,IF(AND($E33="Advanced",$G33="Yes"),'Point Schedule'!$E$47,IF(AND($E33="Excellent",$G33="Yes"),'Point Schedule'!$G$47,0)))</f>
        <v>0</v>
      </c>
      <c r="P33" s="761"/>
      <c r="Q33" s="3"/>
      <c r="R33" s="3"/>
      <c r="S33" s="3"/>
      <c r="T33" s="3"/>
      <c r="U33" s="3"/>
      <c r="V33" s="3"/>
      <c r="W33" s="3"/>
      <c r="X33" s="3"/>
      <c r="Y33" s="3"/>
    </row>
    <row r="34" spans="1:25" ht="20.149999999999999" customHeight="1" x14ac:dyDescent="0.6">
      <c r="A34" s="387"/>
      <c r="B34" s="204"/>
      <c r="C34" s="545"/>
      <c r="D34" s="547"/>
      <c r="E34" s="205"/>
      <c r="F34" s="205"/>
      <c r="G34" s="205"/>
      <c r="H34" s="96">
        <f>IF(AND($E34="Novice",$F34="1st"),'Point Schedule'!$C$42,IF(AND($E34="Novice",$F34="2nd"),'Point Schedule'!$C$43,IF(AND($E34="Novice",$F34="3rd"),'Point Schedule'!$C$44,IF(AND($E34="Novice",$F34="4th"),'Point Schedule'!$C$45,0))))</f>
        <v>0</v>
      </c>
      <c r="I34" s="96">
        <f>IF(AND($E34="Intermediate",$F34="1st"),'Point Schedule'!$C$42,IF(AND($E34="Intermediate",$F34="2nd"),'Point Schedule'!$C$43,IF(AND($E34="Intermediate",$F34="3rd"),'Point Schedule'!$C$44,IF(AND($E34="Intermediate",$F34="4th"),'Point Schedule'!$C$45,0))))</f>
        <v>0</v>
      </c>
      <c r="J34" s="96">
        <f>IF(AND($E34="Advanced",$F34="1st"),'Point Schedule'!$E$42,IF(AND($E34="Advanced",$F34="2nd"),'Point Schedule'!$E$43,IF(AND($E34="Advanced",$F34="3rd"),'Point Schedule'!$E$44,IF(AND($E34="Advanced",$F34="4th"),'Point Schedule'!$E$45,0))))</f>
        <v>0</v>
      </c>
      <c r="K34" s="96">
        <f>IF(AND($E34="Excellent",$F34="1st"),'Point Schedule'!$G$42,IF(AND($E34="Excellent",$F34="2nd"),'Point Schedule'!$G$43,IF(AND($E34="Excellent",$F34="3rd"),'Point Schedule'!$G$44,IF(AND($E34="Excellent",$F34="4th"),'Point Schedule'!$G$45,0))))</f>
        <v>0</v>
      </c>
      <c r="L34" s="96">
        <f>IF(AND($E34="Master",$F34="1st"),'Point Schedule'!$I$42,IF(AND($E34="Master",$F34="2nd"),'Point Schedule'!$I$43,IF(AND($E34="Master",$F34="3rd"),'Point Schedule'!$I$44,IF(AND($E34="Master",$F34="4th"),'Point Schedule'!$I$45,0))))</f>
        <v>0</v>
      </c>
      <c r="M34" s="162">
        <f>IF(AND($B34=$B83,AND($G34=$G83),NOT($G34=0),NOT($B34=0),NOT($E34=$E83)),'Point Schedule'!$C$50,0)</f>
        <v>0</v>
      </c>
      <c r="N34" s="73">
        <f>IF(AND($E34="Master",$G34="Yes"),'Point Schedule'!$I$47,0)</f>
        <v>0</v>
      </c>
      <c r="O34" s="73">
        <f>IF(AND($E34="Novice",$G34="Yes"),'Point Schedule'!$C$47,IF(AND($E34="Advanced",$G34="Yes"),'Point Schedule'!$E$47,IF(AND($E34="Excellent",$G34="Yes"),'Point Schedule'!$G$47,0)))</f>
        <v>0</v>
      </c>
      <c r="P34" s="761"/>
      <c r="Q34" s="3"/>
      <c r="R34" s="3"/>
      <c r="S34" s="3"/>
      <c r="T34" s="3"/>
      <c r="U34" s="3"/>
      <c r="V34" s="3"/>
      <c r="W34" s="3"/>
      <c r="X34" s="3"/>
      <c r="Y34" s="3"/>
    </row>
    <row r="35" spans="1:25" ht="20.149999999999999" customHeight="1" x14ac:dyDescent="0.6">
      <c r="A35" s="387"/>
      <c r="B35" s="204"/>
      <c r="C35" s="545"/>
      <c r="D35" s="547"/>
      <c r="E35" s="205"/>
      <c r="F35" s="205"/>
      <c r="G35" s="205"/>
      <c r="H35" s="96">
        <f>IF(AND($E35="Novice",$F35="1st"),'Point Schedule'!$C$42,IF(AND($E35="Novice",$F35="2nd"),'Point Schedule'!$C$43,IF(AND($E35="Novice",$F35="3rd"),'Point Schedule'!$C$44,IF(AND($E35="Novice",$F35="4th"),'Point Schedule'!$C$45,0))))</f>
        <v>0</v>
      </c>
      <c r="I35" s="96">
        <f>IF(AND($E35="Intermediate",$F35="1st"),'Point Schedule'!$C$42,IF(AND($E35="Intermediate",$F35="2nd"),'Point Schedule'!$C$43,IF(AND($E35="Intermediate",$F35="3rd"),'Point Schedule'!$C$44,IF(AND($E35="Intermediate",$F35="4th"),'Point Schedule'!$C$45,0))))</f>
        <v>0</v>
      </c>
      <c r="J35" s="96">
        <f>IF(AND($E35="Advanced",$F35="1st"),'Point Schedule'!$E$42,IF(AND($E35="Advanced",$F35="2nd"),'Point Schedule'!$E$43,IF(AND($E35="Advanced",$F35="3rd"),'Point Schedule'!$E$44,IF(AND($E35="Advanced",$F35="4th"),'Point Schedule'!$E$45,0))))</f>
        <v>0</v>
      </c>
      <c r="K35" s="96">
        <f>IF(AND($E35="Excellent",$F35="1st"),'Point Schedule'!$G$42,IF(AND($E35="Excellent",$F35="2nd"),'Point Schedule'!$G$43,IF(AND($E35="Excellent",$F35="3rd"),'Point Schedule'!$G$44,IF(AND($E35="Excellent",$F35="4th"),'Point Schedule'!$G$45,0))))</f>
        <v>0</v>
      </c>
      <c r="L35" s="96">
        <f>IF(AND($E35="Master",$F35="1st"),'Point Schedule'!$I$42,IF(AND($E35="Master",$F35="2nd"),'Point Schedule'!$I$43,IF(AND($E35="Master",$F35="3rd"),'Point Schedule'!$I$44,IF(AND($E35="Master",$F35="4th"),'Point Schedule'!$I$45,0))))</f>
        <v>0</v>
      </c>
      <c r="M35" s="162">
        <f>IF(AND($B35=$B84,AND($G35=$G84),NOT($G35=0),NOT($B35=0),NOT($E35=$E84)),'Point Schedule'!$C$50,0)</f>
        <v>0</v>
      </c>
      <c r="N35" s="73">
        <f>IF(AND($E35="Master",$G35="Yes"),'Point Schedule'!$I$47,0)</f>
        <v>0</v>
      </c>
      <c r="O35" s="73">
        <f>IF(AND($E35="Novice",$G35="Yes"),'Point Schedule'!$C$47,IF(AND($E35="Advanced",$G35="Yes"),'Point Schedule'!$E$47,IF(AND($E35="Excellent",$G35="Yes"),'Point Schedule'!$G$47,0)))</f>
        <v>0</v>
      </c>
      <c r="P35" s="761"/>
      <c r="Q35" s="3"/>
      <c r="R35" s="3"/>
      <c r="S35" s="3"/>
      <c r="T35" s="3"/>
      <c r="U35" s="3"/>
      <c r="V35" s="3"/>
      <c r="W35" s="3"/>
      <c r="X35" s="3"/>
      <c r="Y35" s="3"/>
    </row>
    <row r="36" spans="1:25" ht="20.149999999999999" customHeight="1" x14ac:dyDescent="0.6">
      <c r="A36" s="387"/>
      <c r="B36" s="204"/>
      <c r="C36" s="545"/>
      <c r="D36" s="547"/>
      <c r="E36" s="205"/>
      <c r="F36" s="205"/>
      <c r="G36" s="205"/>
      <c r="H36" s="96">
        <f>IF(AND($E36="Novice",$F36="1st"),'Point Schedule'!$C$42,IF(AND($E36="Novice",$F36="2nd"),'Point Schedule'!$C$43,IF(AND($E36="Novice",$F36="3rd"),'Point Schedule'!$C$44,IF(AND($E36="Novice",$F36="4th"),'Point Schedule'!$C$45,0))))</f>
        <v>0</v>
      </c>
      <c r="I36" s="96">
        <f>IF(AND($E36="Intermediate",$F36="1st"),'Point Schedule'!$C$42,IF(AND($E36="Intermediate",$F36="2nd"),'Point Schedule'!$C$43,IF(AND($E36="Intermediate",$F36="3rd"),'Point Schedule'!$C$44,IF(AND($E36="Intermediate",$F36="4th"),'Point Schedule'!$C$45,0))))</f>
        <v>0</v>
      </c>
      <c r="J36" s="96">
        <f>IF(AND($E36="Advanced",$F36="1st"),'Point Schedule'!$E$42,IF(AND($E36="Advanced",$F36="2nd"),'Point Schedule'!$E$43,IF(AND($E36="Advanced",$F36="3rd"),'Point Schedule'!$E$44,IF(AND($E36="Advanced",$F36="4th"),'Point Schedule'!$E$45,0))))</f>
        <v>0</v>
      </c>
      <c r="K36" s="96">
        <f>IF(AND($E36="Excellent",$F36="1st"),'Point Schedule'!$G$42,IF(AND($E36="Excellent",$F36="2nd"),'Point Schedule'!$G$43,IF(AND($E36="Excellent",$F36="3rd"),'Point Schedule'!$G$44,IF(AND($E36="Excellent",$F36="4th"),'Point Schedule'!$G$45,0))))</f>
        <v>0</v>
      </c>
      <c r="L36" s="96">
        <f>IF(AND($E36="Master",$F36="1st"),'Point Schedule'!$I$42,IF(AND($E36="Master",$F36="2nd"),'Point Schedule'!$I$43,IF(AND($E36="Master",$F36="3rd"),'Point Schedule'!$I$44,IF(AND($E36="Master",$F36="4th"),'Point Schedule'!$I$45,0))))</f>
        <v>0</v>
      </c>
      <c r="M36" s="162">
        <f>IF(AND($B36=$B85,AND($G36=$G85),NOT($G36=0),NOT($B36=0),NOT($E36=$E85)),'Point Schedule'!$C$50,0)</f>
        <v>0</v>
      </c>
      <c r="N36" s="73">
        <f>IF(AND($E36="Master",$G36="Yes"),'Point Schedule'!$I$47,0)</f>
        <v>0</v>
      </c>
      <c r="O36" s="73">
        <f>IF(AND($E36="Novice",$G36="Yes"),'Point Schedule'!$C$47,IF(AND($E36="Advanced",$G36="Yes"),'Point Schedule'!$E$47,IF(AND($E36="Excellent",$G36="Yes"),'Point Schedule'!$G$47,0)))</f>
        <v>0</v>
      </c>
      <c r="P36" s="761"/>
      <c r="Q36" s="3"/>
      <c r="R36" s="3"/>
      <c r="S36" s="3"/>
      <c r="T36" s="3"/>
      <c r="U36" s="3"/>
      <c r="V36" s="3"/>
      <c r="W36" s="3"/>
      <c r="X36" s="3"/>
      <c r="Y36" s="3"/>
    </row>
    <row r="37" spans="1:25" ht="20.149999999999999" customHeight="1" x14ac:dyDescent="0.6">
      <c r="A37" s="387"/>
      <c r="B37" s="204"/>
      <c r="C37" s="545"/>
      <c r="D37" s="547"/>
      <c r="E37" s="205"/>
      <c r="F37" s="205"/>
      <c r="G37" s="205"/>
      <c r="H37" s="96">
        <f>IF(AND($E37="Novice",$F37="1st"),'Point Schedule'!$C$42,IF(AND($E37="Novice",$F37="2nd"),'Point Schedule'!$C$43,IF(AND($E37="Novice",$F37="3rd"),'Point Schedule'!$C$44,IF(AND($E37="Novice",$F37="4th"),'Point Schedule'!$C$45,0))))</f>
        <v>0</v>
      </c>
      <c r="I37" s="96">
        <f>IF(AND($E37="Intermediate",$F37="1st"),'Point Schedule'!$C$42,IF(AND($E37="Intermediate",$F37="2nd"),'Point Schedule'!$C$43,IF(AND($E37="Intermediate",$F37="3rd"),'Point Schedule'!$C$44,IF(AND($E37="Intermediate",$F37="4th"),'Point Schedule'!$C$45,0))))</f>
        <v>0</v>
      </c>
      <c r="J37" s="96">
        <f>IF(AND($E37="Advanced",$F37="1st"),'Point Schedule'!$E$42,IF(AND($E37="Advanced",$F37="2nd"),'Point Schedule'!$E$43,IF(AND($E37="Advanced",$F37="3rd"),'Point Schedule'!$E$44,IF(AND($E37="Advanced",$F37="4th"),'Point Schedule'!$E$45,0))))</f>
        <v>0</v>
      </c>
      <c r="K37" s="96">
        <f>IF(AND($E37="Excellent",$F37="1st"),'Point Schedule'!$G$42,IF(AND($E37="Excellent",$F37="2nd"),'Point Schedule'!$G$43,IF(AND($E37="Excellent",$F37="3rd"),'Point Schedule'!$G$44,IF(AND($E37="Excellent",$F37="4th"),'Point Schedule'!$G$45,0))))</f>
        <v>0</v>
      </c>
      <c r="L37" s="96">
        <f>IF(AND($E37="Master",$F37="1st"),'Point Schedule'!$I$42,IF(AND($E37="Master",$F37="2nd"),'Point Schedule'!$I$43,IF(AND($E37="Master",$F37="3rd"),'Point Schedule'!$I$44,IF(AND($E37="Master",$F37="4th"),'Point Schedule'!$I$45,0))))</f>
        <v>0</v>
      </c>
      <c r="M37" s="162">
        <f>IF(AND($B37=$B86,AND($G37=$G86),NOT($G37=0),NOT($B37=0),NOT($E37=$E86)),'Point Schedule'!$C$50,0)</f>
        <v>0</v>
      </c>
      <c r="N37" s="73">
        <f>IF(AND($E37="Master",$G37="Yes"),'Point Schedule'!$I$47,0)</f>
        <v>0</v>
      </c>
      <c r="O37" s="73">
        <f>IF(AND($E37="Novice",$G37="Yes"),'Point Schedule'!$C$47,IF(AND($E37="Advanced",$G37="Yes"),'Point Schedule'!$E$47,IF(AND($E37="Excellent",$G37="Yes"),'Point Schedule'!$G$47,0)))</f>
        <v>0</v>
      </c>
      <c r="P37" s="761"/>
      <c r="Q37" s="3"/>
      <c r="R37" s="3"/>
      <c r="S37" s="3"/>
      <c r="T37" s="3"/>
      <c r="U37" s="3"/>
      <c r="V37" s="3"/>
      <c r="W37" s="3"/>
      <c r="X37" s="3"/>
      <c r="Y37" s="3"/>
    </row>
    <row r="38" spans="1:25" ht="20.149999999999999" customHeight="1" x14ac:dyDescent="0.6">
      <c r="A38" s="387"/>
      <c r="B38" s="204"/>
      <c r="C38" s="545"/>
      <c r="D38" s="547"/>
      <c r="E38" s="205"/>
      <c r="F38" s="205"/>
      <c r="G38" s="205"/>
      <c r="H38" s="96">
        <f>IF(AND($E38="Novice",$F38="1st"),'Point Schedule'!$C$42,IF(AND($E38="Novice",$F38="2nd"),'Point Schedule'!$C$43,IF(AND($E38="Novice",$F38="3rd"),'Point Schedule'!$C$44,IF(AND($E38="Novice",$F38="4th"),'Point Schedule'!$C$45,0))))</f>
        <v>0</v>
      </c>
      <c r="I38" s="96">
        <f>IF(AND($E38="Intermediate",$F38="1st"),'Point Schedule'!$C$42,IF(AND($E38="Intermediate",$F38="2nd"),'Point Schedule'!$C$43,IF(AND($E38="Intermediate",$F38="3rd"),'Point Schedule'!$C$44,IF(AND($E38="Intermediate",$F38="4th"),'Point Schedule'!$C$45,0))))</f>
        <v>0</v>
      </c>
      <c r="J38" s="96">
        <f>IF(AND($E38="Advanced",$F38="1st"),'Point Schedule'!$E$42,IF(AND($E38="Advanced",$F38="2nd"),'Point Schedule'!$E$43,IF(AND($E38="Advanced",$F38="3rd"),'Point Schedule'!$E$44,IF(AND($E38="Advanced",$F38="4th"),'Point Schedule'!$E$45,0))))</f>
        <v>0</v>
      </c>
      <c r="K38" s="96">
        <f>IF(AND($E38="Excellent",$F38="1st"),'Point Schedule'!$G$42,IF(AND($E38="Excellent",$F38="2nd"),'Point Schedule'!$G$43,IF(AND($E38="Excellent",$F38="3rd"),'Point Schedule'!$G$44,IF(AND($E38="Excellent",$F38="4th"),'Point Schedule'!$G$45,0))))</f>
        <v>0</v>
      </c>
      <c r="L38" s="96">
        <f>IF(AND($E38="Master",$F38="1st"),'Point Schedule'!$I$42,IF(AND($E38="Master",$F38="2nd"),'Point Schedule'!$I$43,IF(AND($E38="Master",$F38="3rd"),'Point Schedule'!$I$44,IF(AND($E38="Master",$F38="4th"),'Point Schedule'!$I$45,0))))</f>
        <v>0</v>
      </c>
      <c r="M38" s="162">
        <f>IF(AND($B38=$B87,AND($G38=$G87),NOT($G38=0),NOT($B38=0),NOT($E38=$E87)),'Point Schedule'!$C$50,0)</f>
        <v>0</v>
      </c>
      <c r="N38" s="73">
        <f>IF(AND($E38="Master",$G38="Yes"),'Point Schedule'!$I$47,0)</f>
        <v>0</v>
      </c>
      <c r="O38" s="73">
        <f>IF(AND($E38="Novice",$G38="Yes"),'Point Schedule'!$C$47,IF(AND($E38="Advanced",$G38="Yes"),'Point Schedule'!$E$47,IF(AND($E38="Excellent",$G38="Yes"),'Point Schedule'!$G$47,0)))</f>
        <v>0</v>
      </c>
      <c r="P38" s="761"/>
      <c r="Q38" s="3"/>
      <c r="R38" s="3"/>
      <c r="S38" s="3"/>
      <c r="T38" s="3"/>
      <c r="U38" s="3"/>
      <c r="V38" s="3"/>
      <c r="W38" s="3"/>
      <c r="X38" s="3"/>
      <c r="Y38" s="3"/>
    </row>
    <row r="39" spans="1:25" ht="20.149999999999999" customHeight="1" x14ac:dyDescent="0.6">
      <c r="A39" s="387"/>
      <c r="B39" s="204"/>
      <c r="C39" s="545"/>
      <c r="D39" s="547"/>
      <c r="E39" s="205"/>
      <c r="F39" s="205"/>
      <c r="G39" s="205"/>
      <c r="H39" s="96">
        <f>IF(AND($E39="Novice",$F39="1st"),'Point Schedule'!$C$42,IF(AND($E39="Novice",$F39="2nd"),'Point Schedule'!$C$43,IF(AND($E39="Novice",$F39="3rd"),'Point Schedule'!$C$44,IF(AND($E39="Novice",$F39="4th"),'Point Schedule'!$C$45,0))))</f>
        <v>0</v>
      </c>
      <c r="I39" s="96">
        <f>IF(AND($E39="Intermediate",$F39="1st"),'Point Schedule'!$C$42,IF(AND($E39="Intermediate",$F39="2nd"),'Point Schedule'!$C$43,IF(AND($E39="Intermediate",$F39="3rd"),'Point Schedule'!$C$44,IF(AND($E39="Intermediate",$F39="4th"),'Point Schedule'!$C$45,0))))</f>
        <v>0</v>
      </c>
      <c r="J39" s="96">
        <f>IF(AND($E39="Advanced",$F39="1st"),'Point Schedule'!$E$42,IF(AND($E39="Advanced",$F39="2nd"),'Point Schedule'!$E$43,IF(AND($E39="Advanced",$F39="3rd"),'Point Schedule'!$E$44,IF(AND($E39="Advanced",$F39="4th"),'Point Schedule'!$E$45,0))))</f>
        <v>0</v>
      </c>
      <c r="K39" s="96">
        <f>IF(AND($E39="Excellent",$F39="1st"),'Point Schedule'!$G$42,IF(AND($E39="Excellent",$F39="2nd"),'Point Schedule'!$G$43,IF(AND($E39="Excellent",$F39="3rd"),'Point Schedule'!$G$44,IF(AND($E39="Excellent",$F39="4th"),'Point Schedule'!$G$45,0))))</f>
        <v>0</v>
      </c>
      <c r="L39" s="96">
        <f>IF(AND($E39="Master",$F39="1st"),'Point Schedule'!$I$42,IF(AND($E39="Master",$F39="2nd"),'Point Schedule'!$I$43,IF(AND($E39="Master",$F39="3rd"),'Point Schedule'!$I$44,IF(AND($E39="Master",$F39="4th"),'Point Schedule'!$I$45,0))))</f>
        <v>0</v>
      </c>
      <c r="M39" s="162">
        <f>IF(AND($B39=$B88,AND($G39=$G88),NOT($G39=0),NOT($B39=0),NOT($E39=$E88)),'Point Schedule'!$C$50,0)</f>
        <v>0</v>
      </c>
      <c r="N39" s="73">
        <f>IF(AND($E39="Master",$G39="Yes"),'Point Schedule'!$I$47,0)</f>
        <v>0</v>
      </c>
      <c r="O39" s="73">
        <f>IF(AND($E39="Novice",$G39="Yes"),'Point Schedule'!$C$47,IF(AND($E39="Advanced",$G39="Yes"),'Point Schedule'!$E$47,IF(AND($E39="Excellent",$G39="Yes"),'Point Schedule'!$G$47,0)))</f>
        <v>0</v>
      </c>
      <c r="P39" s="761"/>
      <c r="Q39" s="3"/>
      <c r="R39" s="3"/>
      <c r="S39" s="3"/>
      <c r="T39" s="3"/>
      <c r="U39" s="3"/>
      <c r="V39" s="3"/>
      <c r="W39" s="3"/>
      <c r="X39" s="3"/>
      <c r="Y39" s="3"/>
    </row>
    <row r="40" spans="1:25" ht="20.149999999999999" customHeight="1" x14ac:dyDescent="0.6">
      <c r="A40" s="387"/>
      <c r="B40" s="204"/>
      <c r="C40" s="545"/>
      <c r="D40" s="547"/>
      <c r="E40" s="205"/>
      <c r="F40" s="205"/>
      <c r="G40" s="205"/>
      <c r="H40" s="96">
        <f>IF(AND($E40="Novice",$F40="1st"),'Point Schedule'!$C$42,IF(AND($E40="Novice",$F40="2nd"),'Point Schedule'!$C$43,IF(AND($E40="Novice",$F40="3rd"),'Point Schedule'!$C$44,IF(AND($E40="Novice",$F40="4th"),'Point Schedule'!$C$45,0))))</f>
        <v>0</v>
      </c>
      <c r="I40" s="96">
        <f>IF(AND($E40="Intermediate",$F40="1st"),'Point Schedule'!$C$42,IF(AND($E40="Intermediate",$F40="2nd"),'Point Schedule'!$C$43,IF(AND($E40="Intermediate",$F40="3rd"),'Point Schedule'!$C$44,IF(AND($E40="Intermediate",$F40="4th"),'Point Schedule'!$C$45,0))))</f>
        <v>0</v>
      </c>
      <c r="J40" s="96">
        <f>IF(AND($E40="Advanced",$F40="1st"),'Point Schedule'!$E$42,IF(AND($E40="Advanced",$F40="2nd"),'Point Schedule'!$E$43,IF(AND($E40="Advanced",$F40="3rd"),'Point Schedule'!$E$44,IF(AND($E40="Advanced",$F40="4th"),'Point Schedule'!$E$45,0))))</f>
        <v>0</v>
      </c>
      <c r="K40" s="96">
        <f>IF(AND($E40="Excellent",$F40="1st"),'Point Schedule'!$G$42,IF(AND($E40="Excellent",$F40="2nd"),'Point Schedule'!$G$43,IF(AND($E40="Excellent",$F40="3rd"),'Point Schedule'!$G$44,IF(AND($E40="Excellent",$F40="4th"),'Point Schedule'!$G$45,0))))</f>
        <v>0</v>
      </c>
      <c r="L40" s="96">
        <f>IF(AND($E40="Master",$F40="1st"),'Point Schedule'!$I$42,IF(AND($E40="Master",$F40="2nd"),'Point Schedule'!$I$43,IF(AND($E40="Master",$F40="3rd"),'Point Schedule'!$I$44,IF(AND($E40="Master",$F40="4th"),'Point Schedule'!$I$45,0))))</f>
        <v>0</v>
      </c>
      <c r="M40" s="162">
        <f>IF(AND($B40=$B89,AND($G40=$G89),NOT($G40=0),NOT($B40=0),NOT($E40=$E89)),'Point Schedule'!$C$50,0)</f>
        <v>0</v>
      </c>
      <c r="N40" s="73">
        <f>IF(AND($E40="Master",$G40="Yes"),'Point Schedule'!$I$47,0)</f>
        <v>0</v>
      </c>
      <c r="O40" s="73">
        <f>IF(AND($E40="Novice",$G40="Yes"),'Point Schedule'!$C$47,IF(AND($E40="Advanced",$G40="Yes"),'Point Schedule'!$E$47,IF(AND($E40="Excellent",$G40="Yes"),'Point Schedule'!$G$47,0)))</f>
        <v>0</v>
      </c>
      <c r="P40" s="761"/>
      <c r="Q40" s="3"/>
      <c r="R40" s="3"/>
      <c r="S40" s="3"/>
      <c r="T40" s="3"/>
      <c r="U40" s="3"/>
      <c r="V40" s="3"/>
      <c r="W40" s="3"/>
      <c r="X40" s="3"/>
      <c r="Y40" s="3"/>
    </row>
    <row r="41" spans="1:25" ht="20.149999999999999" customHeight="1" x14ac:dyDescent="0.6">
      <c r="A41" s="387"/>
      <c r="B41" s="204"/>
      <c r="C41" s="545"/>
      <c r="D41" s="547"/>
      <c r="E41" s="205"/>
      <c r="F41" s="205"/>
      <c r="G41" s="205"/>
      <c r="H41" s="96">
        <f>IF(AND($E41="Novice",$F41="1st"),'Point Schedule'!$C$42,IF(AND($E41="Novice",$F41="2nd"),'Point Schedule'!$C$43,IF(AND($E41="Novice",$F41="3rd"),'Point Schedule'!$C$44,IF(AND($E41="Novice",$F41="4th"),'Point Schedule'!$C$45,0))))</f>
        <v>0</v>
      </c>
      <c r="I41" s="96">
        <f>IF(AND($E41="Intermediate",$F41="1st"),'Point Schedule'!$C$42,IF(AND($E41="Intermediate",$F41="2nd"),'Point Schedule'!$C$43,IF(AND($E41="Intermediate",$F41="3rd"),'Point Schedule'!$C$44,IF(AND($E41="Intermediate",$F41="4th"),'Point Schedule'!$C$45,0))))</f>
        <v>0</v>
      </c>
      <c r="J41" s="96">
        <f>IF(AND($E41="Advanced",$F41="1st"),'Point Schedule'!$E$42,IF(AND($E41="Advanced",$F41="2nd"),'Point Schedule'!$E$43,IF(AND($E41="Advanced",$F41="3rd"),'Point Schedule'!$E$44,IF(AND($E41="Advanced",$F41="4th"),'Point Schedule'!$E$45,0))))</f>
        <v>0</v>
      </c>
      <c r="K41" s="96">
        <f>IF(AND($E41="Excellent",$F41="1st"),'Point Schedule'!$G$42,IF(AND($E41="Excellent",$F41="2nd"),'Point Schedule'!$G$43,IF(AND($E41="Excellent",$F41="3rd"),'Point Schedule'!$G$44,IF(AND($E41="Excellent",$F41="4th"),'Point Schedule'!$G$45,0))))</f>
        <v>0</v>
      </c>
      <c r="L41" s="96">
        <f>IF(AND($E41="Master",$F41="1st"),'Point Schedule'!$I$42,IF(AND($E41="Master",$F41="2nd"),'Point Schedule'!$I$43,IF(AND($E41="Master",$F41="3rd"),'Point Schedule'!$I$44,IF(AND($E41="Master",$F41="4th"),'Point Schedule'!$I$45,0))))</f>
        <v>0</v>
      </c>
      <c r="M41" s="162">
        <f>IF(AND($B41=$B90,AND($G41=$G90),NOT($G41=0),NOT($B41=0),NOT($E41=$E90)),'Point Schedule'!$C$50,0)</f>
        <v>0</v>
      </c>
      <c r="N41" s="73">
        <f>IF(AND($E41="Master",$G41="Yes"),'Point Schedule'!$I$47,0)</f>
        <v>0</v>
      </c>
      <c r="O41" s="73">
        <f>IF(AND($E41="Novice",$G41="Yes"),'Point Schedule'!$C$47,IF(AND($E41="Advanced",$G41="Yes"),'Point Schedule'!$E$47,IF(AND($E41="Excellent",$G41="Yes"),'Point Schedule'!$G$47,0)))</f>
        <v>0</v>
      </c>
      <c r="P41" s="761"/>
      <c r="Q41" s="3"/>
      <c r="R41" s="3"/>
      <c r="S41" s="3"/>
      <c r="T41" s="3"/>
      <c r="U41" s="3"/>
      <c r="V41" s="3"/>
      <c r="W41" s="3"/>
      <c r="X41" s="3"/>
      <c r="Y41" s="3"/>
    </row>
    <row r="42" spans="1:25" ht="20.149999999999999" customHeight="1" x14ac:dyDescent="0.6">
      <c r="A42" s="387"/>
      <c r="B42" s="204"/>
      <c r="C42" s="545"/>
      <c r="D42" s="547"/>
      <c r="E42" s="205"/>
      <c r="F42" s="205"/>
      <c r="G42" s="205"/>
      <c r="H42" s="96">
        <f>IF(AND($E42="Novice",$F42="1st"),'Point Schedule'!$C$42,IF(AND($E42="Novice",$F42="2nd"),'Point Schedule'!$C$43,IF(AND($E42="Novice",$F42="3rd"),'Point Schedule'!$C$44,IF(AND($E42="Novice",$F42="4th"),'Point Schedule'!$C$45,0))))</f>
        <v>0</v>
      </c>
      <c r="I42" s="96">
        <f>IF(AND($E42="Intermediate",$F42="1st"),'Point Schedule'!$C$42,IF(AND($E42="Intermediate",$F42="2nd"),'Point Schedule'!$C$43,IF(AND($E42="Intermediate",$F42="3rd"),'Point Schedule'!$C$44,IF(AND($E42="Intermediate",$F42="4th"),'Point Schedule'!$C$45,0))))</f>
        <v>0</v>
      </c>
      <c r="J42" s="96">
        <f>IF(AND($E42="Advanced",$F42="1st"),'Point Schedule'!$E$42,IF(AND($E42="Advanced",$F42="2nd"),'Point Schedule'!$E$43,IF(AND($E42="Advanced",$F42="3rd"),'Point Schedule'!$E$44,IF(AND($E42="Advanced",$F42="4th"),'Point Schedule'!$E$45,0))))</f>
        <v>0</v>
      </c>
      <c r="K42" s="96">
        <f>IF(AND($E42="Excellent",$F42="1st"),'Point Schedule'!$G$42,IF(AND($E42="Excellent",$F42="2nd"),'Point Schedule'!$G$43,IF(AND($E42="Excellent",$F42="3rd"),'Point Schedule'!$G$44,IF(AND($E42="Excellent",$F42="4th"),'Point Schedule'!$G$45,0))))</f>
        <v>0</v>
      </c>
      <c r="L42" s="96">
        <f>IF(AND($E42="Master",$F42="1st"),'Point Schedule'!$I$42,IF(AND($E42="Master",$F42="2nd"),'Point Schedule'!$I$43,IF(AND($E42="Master",$F42="3rd"),'Point Schedule'!$I$44,IF(AND($E42="Master",$F42="4th"),'Point Schedule'!$I$45,0))))</f>
        <v>0</v>
      </c>
      <c r="M42" s="162">
        <f>IF(AND($B42=$B91,AND($G42=$G91),NOT($G42=0),NOT($B42=0),NOT($E42=$E91)),'Point Schedule'!$C$50,0)</f>
        <v>0</v>
      </c>
      <c r="N42" s="73">
        <f>IF(AND($E42="Master",$G42="Yes"),'Point Schedule'!$I$47,0)</f>
        <v>0</v>
      </c>
      <c r="O42" s="73">
        <f>IF(AND($E42="Novice",$G42="Yes"),'Point Schedule'!$C$47,IF(AND($E42="Advanced",$G42="Yes"),'Point Schedule'!$E$47,IF(AND($E42="Excellent",$G42="Yes"),'Point Schedule'!$G$47,0)))</f>
        <v>0</v>
      </c>
      <c r="P42" s="761"/>
      <c r="Q42" s="3"/>
      <c r="R42" s="3"/>
      <c r="S42" s="3"/>
      <c r="T42" s="3"/>
      <c r="U42" s="3"/>
      <c r="V42" s="3"/>
      <c r="W42" s="3"/>
      <c r="X42" s="3"/>
      <c r="Y42" s="3"/>
    </row>
    <row r="43" spans="1:25" ht="20.149999999999999" customHeight="1" x14ac:dyDescent="0.6">
      <c r="A43" s="387"/>
      <c r="B43" s="204"/>
      <c r="C43" s="545"/>
      <c r="D43" s="547"/>
      <c r="E43" s="205"/>
      <c r="F43" s="205"/>
      <c r="G43" s="205"/>
      <c r="H43" s="96">
        <f>IF(AND($E43="Novice",$F43="1st"),'Point Schedule'!$C$42,IF(AND($E43="Novice",$F43="2nd"),'Point Schedule'!$C$43,IF(AND($E43="Novice",$F43="3rd"),'Point Schedule'!$C$44,IF(AND($E43="Novice",$F43="4th"),'Point Schedule'!$C$45,0))))</f>
        <v>0</v>
      </c>
      <c r="I43" s="96">
        <f>IF(AND($E43="Intermediate",$F43="1st"),'Point Schedule'!$C$42,IF(AND($E43="Intermediate",$F43="2nd"),'Point Schedule'!$C$43,IF(AND($E43="Intermediate",$F43="3rd"),'Point Schedule'!$C$44,IF(AND($E43="Intermediate",$F43="4th"),'Point Schedule'!$C$45,0))))</f>
        <v>0</v>
      </c>
      <c r="J43" s="96">
        <f>IF(AND($E43="Advanced",$F43="1st"),'Point Schedule'!$E$42,IF(AND($E43="Advanced",$F43="2nd"),'Point Schedule'!$E$43,IF(AND($E43="Advanced",$F43="3rd"),'Point Schedule'!$E$44,IF(AND($E43="Advanced",$F43="4th"),'Point Schedule'!$E$45,0))))</f>
        <v>0</v>
      </c>
      <c r="K43" s="96">
        <f>IF(AND($E43="Excellent",$F43="1st"),'Point Schedule'!$G$42,IF(AND($E43="Excellent",$F43="2nd"),'Point Schedule'!$G$43,IF(AND($E43="Excellent",$F43="3rd"),'Point Schedule'!$G$44,IF(AND($E43="Excellent",$F43="4th"),'Point Schedule'!$G$45,0))))</f>
        <v>0</v>
      </c>
      <c r="L43" s="96">
        <f>IF(AND($E43="Master",$F43="1st"),'Point Schedule'!$I$42,IF(AND($E43="Master",$F43="2nd"),'Point Schedule'!$I$43,IF(AND($E43="Master",$F43="3rd"),'Point Schedule'!$I$44,IF(AND($E43="Master",$F43="4th"),'Point Schedule'!$I$45,0))))</f>
        <v>0</v>
      </c>
      <c r="M43" s="162">
        <f>IF(AND($B43=$B92,AND($G43=$G92),NOT($G43=0),NOT($B43=0),NOT($E43=$E92)),'Point Schedule'!$C$50,0)</f>
        <v>0</v>
      </c>
      <c r="N43" s="73">
        <f>IF(AND($E43="Master",$G43="Yes"),'Point Schedule'!$I$47,0)</f>
        <v>0</v>
      </c>
      <c r="O43" s="73">
        <f>IF(AND($E43="Novice",$G43="Yes"),'Point Schedule'!$C$47,IF(AND($E43="Advanced",$G43="Yes"),'Point Schedule'!$E$47,IF(AND($E43="Excellent",$G43="Yes"),'Point Schedule'!$G$47,0)))</f>
        <v>0</v>
      </c>
      <c r="P43" s="761"/>
      <c r="Q43" s="3"/>
      <c r="R43" s="3"/>
      <c r="S43" s="3"/>
      <c r="T43" s="3"/>
      <c r="U43" s="3"/>
      <c r="V43" s="3"/>
      <c r="W43" s="3"/>
      <c r="X43" s="3"/>
      <c r="Y43" s="3"/>
    </row>
    <row r="44" spans="1:25" ht="20.149999999999999" customHeight="1" x14ac:dyDescent="0.6">
      <c r="A44" s="387"/>
      <c r="B44" s="204"/>
      <c r="C44" s="545"/>
      <c r="D44" s="547"/>
      <c r="E44" s="205"/>
      <c r="F44" s="205"/>
      <c r="G44" s="205"/>
      <c r="H44" s="96">
        <f>IF(AND($E44="Novice",$F44="1st"),'Point Schedule'!$C$42,IF(AND($E44="Novice",$F44="2nd"),'Point Schedule'!$C$43,IF(AND($E44="Novice",$F44="3rd"),'Point Schedule'!$C$44,IF(AND($E44="Novice",$F44="4th"),'Point Schedule'!$C$45,0))))</f>
        <v>0</v>
      </c>
      <c r="I44" s="96">
        <f>IF(AND($E44="Intermediate",$F44="1st"),'Point Schedule'!$C$42,IF(AND($E44="Intermediate",$F44="2nd"),'Point Schedule'!$C$43,IF(AND($E44="Intermediate",$F44="3rd"),'Point Schedule'!$C$44,IF(AND($E44="Intermediate",$F44="4th"),'Point Schedule'!$C$45,0))))</f>
        <v>0</v>
      </c>
      <c r="J44" s="96">
        <f>IF(AND($E44="Advanced",$F44="1st"),'Point Schedule'!$E$42,IF(AND($E44="Advanced",$F44="2nd"),'Point Schedule'!$E$43,IF(AND($E44="Advanced",$F44="3rd"),'Point Schedule'!$E$44,IF(AND($E44="Advanced",$F44="4th"),'Point Schedule'!$E$45,0))))</f>
        <v>0</v>
      </c>
      <c r="K44" s="96">
        <f>IF(AND($E44="Excellent",$F44="1st"),'Point Schedule'!$G$42,IF(AND($E44="Excellent",$F44="2nd"),'Point Schedule'!$G$43,IF(AND($E44="Excellent",$F44="3rd"),'Point Schedule'!$G$44,IF(AND($E44="Excellent",$F44="4th"),'Point Schedule'!$G$45,0))))</f>
        <v>0</v>
      </c>
      <c r="L44" s="96">
        <f>IF(AND($E44="Master",$F44="1st"),'Point Schedule'!$I$42,IF(AND($E44="Master",$F44="2nd"),'Point Schedule'!$I$43,IF(AND($E44="Master",$F44="3rd"),'Point Schedule'!$I$44,IF(AND($E44="Master",$F44="4th"),'Point Schedule'!$I$45,0))))</f>
        <v>0</v>
      </c>
      <c r="M44" s="162">
        <f>IF(AND($B44=$B93,AND($G44=$G93),NOT($G44=0),NOT($B44=0),NOT($E44=$E93)),'Point Schedule'!$C$50,0)</f>
        <v>0</v>
      </c>
      <c r="N44" s="73">
        <f>IF(AND($E44="Master",$G44="Yes"),'Point Schedule'!$I$47,0)</f>
        <v>0</v>
      </c>
      <c r="O44" s="73">
        <f>IF(AND($E44="Novice",$G44="Yes"),'Point Schedule'!$C$47,IF(AND($E44="Advanced",$G44="Yes"),'Point Schedule'!$E$47,IF(AND($E44="Excellent",$G44="Yes"),'Point Schedule'!$G$47,0)))</f>
        <v>0</v>
      </c>
      <c r="P44" s="761"/>
      <c r="Q44" s="3"/>
      <c r="R44" s="3"/>
      <c r="S44" s="3"/>
      <c r="T44" s="3"/>
      <c r="U44" s="3"/>
      <c r="V44" s="3"/>
      <c r="W44" s="3"/>
      <c r="X44" s="3"/>
      <c r="Y44" s="3"/>
    </row>
    <row r="45" spans="1:25" ht="20.149999999999999" customHeight="1" x14ac:dyDescent="0.6">
      <c r="A45" s="387"/>
      <c r="B45" s="204"/>
      <c r="C45" s="545"/>
      <c r="D45" s="547"/>
      <c r="E45" s="205"/>
      <c r="F45" s="205"/>
      <c r="G45" s="205"/>
      <c r="H45" s="96">
        <f>IF(AND($E45="Novice",$F45="1st"),'Point Schedule'!$C$42,IF(AND($E45="Novice",$F45="2nd"),'Point Schedule'!$C$43,IF(AND($E45="Novice",$F45="3rd"),'Point Schedule'!$C$44,IF(AND($E45="Novice",$F45="4th"),'Point Schedule'!$C$45,0))))</f>
        <v>0</v>
      </c>
      <c r="I45" s="96">
        <f>IF(AND($E45="Intermediate",$F45="1st"),'Point Schedule'!$C$42,IF(AND($E45="Intermediate",$F45="2nd"),'Point Schedule'!$C$43,IF(AND($E45="Intermediate",$F45="3rd"),'Point Schedule'!$C$44,IF(AND($E45="Intermediate",$F45="4th"),'Point Schedule'!$C$45,0))))</f>
        <v>0</v>
      </c>
      <c r="J45" s="96">
        <f>IF(AND($E45="Advanced",$F45="1st"),'Point Schedule'!$E$42,IF(AND($E45="Advanced",$F45="2nd"),'Point Schedule'!$E$43,IF(AND($E45="Advanced",$F45="3rd"),'Point Schedule'!$E$44,IF(AND($E45="Advanced",$F45="4th"),'Point Schedule'!$E$45,0))))</f>
        <v>0</v>
      </c>
      <c r="K45" s="96">
        <f>IF(AND($E45="Excellent",$F45="1st"),'Point Schedule'!$G$42,IF(AND($E45="Excellent",$F45="2nd"),'Point Schedule'!$G$43,IF(AND($E45="Excellent",$F45="3rd"),'Point Schedule'!$G$44,IF(AND($E45="Excellent",$F45="4th"),'Point Schedule'!$G$45,0))))</f>
        <v>0</v>
      </c>
      <c r="L45" s="96">
        <f>IF(AND($E45="Master",$F45="1st"),'Point Schedule'!$I$42,IF(AND($E45="Master",$F45="2nd"),'Point Schedule'!$I$43,IF(AND($E45="Master",$F45="3rd"),'Point Schedule'!$I$44,IF(AND($E45="Master",$F45="4th"),'Point Schedule'!$I$45,0))))</f>
        <v>0</v>
      </c>
      <c r="M45" s="162">
        <f>IF(AND($B45=$B94,AND($G45=$G94),NOT($G45=0),NOT($B45=0),NOT($E45=$E94)),'Point Schedule'!$C$50,0)</f>
        <v>0</v>
      </c>
      <c r="N45" s="73">
        <f>IF(AND($E45="Master",$G45="Yes"),'Point Schedule'!$I$47,0)</f>
        <v>0</v>
      </c>
      <c r="O45" s="73">
        <f>IF(AND($E45="Novice",$G45="Yes"),'Point Schedule'!$C$47,IF(AND($E45="Advanced",$G45="Yes"),'Point Schedule'!$E$47,IF(AND($E45="Excellent",$G45="Yes"),'Point Schedule'!$G$47,0)))</f>
        <v>0</v>
      </c>
      <c r="P45" s="761"/>
      <c r="Q45" s="3"/>
      <c r="R45" s="3"/>
      <c r="S45" s="3"/>
      <c r="T45" s="3"/>
      <c r="U45" s="3"/>
      <c r="V45" s="3"/>
      <c r="W45" s="3"/>
      <c r="X45" s="3"/>
      <c r="Y45" s="3"/>
    </row>
    <row r="46" spans="1:25" ht="20.149999999999999" customHeight="1" x14ac:dyDescent="0.6">
      <c r="A46" s="387"/>
      <c r="B46" s="204"/>
      <c r="C46" s="545"/>
      <c r="D46" s="547"/>
      <c r="E46" s="205"/>
      <c r="F46" s="205"/>
      <c r="G46" s="205"/>
      <c r="H46" s="96">
        <f>IF(AND($E46="Novice",$F46="1st"),'Point Schedule'!$C$42,IF(AND($E46="Novice",$F46="2nd"),'Point Schedule'!$C$43,IF(AND($E46="Novice",$F46="3rd"),'Point Schedule'!$C$44,IF(AND($E46="Novice",$F46="4th"),'Point Schedule'!$C$45,0))))</f>
        <v>0</v>
      </c>
      <c r="I46" s="96">
        <f>IF(AND($E46="Intermediate",$F46="1st"),'Point Schedule'!$C$42,IF(AND($E46="Intermediate",$F46="2nd"),'Point Schedule'!$C$43,IF(AND($E46="Intermediate",$F46="3rd"),'Point Schedule'!$C$44,IF(AND($E46="Intermediate",$F46="4th"),'Point Schedule'!$C$45,0))))</f>
        <v>0</v>
      </c>
      <c r="J46" s="96">
        <f>IF(AND($E46="Advanced",$F46="1st"),'Point Schedule'!$E$42,IF(AND($E46="Advanced",$F46="2nd"),'Point Schedule'!$E$43,IF(AND($E46="Advanced",$F46="3rd"),'Point Schedule'!$E$44,IF(AND($E46="Advanced",$F46="4th"),'Point Schedule'!$E$45,0))))</f>
        <v>0</v>
      </c>
      <c r="K46" s="96">
        <f>IF(AND($E46="Excellent",$F46="1st"),'Point Schedule'!$G$42,IF(AND($E46="Excellent",$F46="2nd"),'Point Schedule'!$G$43,IF(AND($E46="Excellent",$F46="3rd"),'Point Schedule'!$G$44,IF(AND($E46="Excellent",$F46="4th"),'Point Schedule'!$G$45,0))))</f>
        <v>0</v>
      </c>
      <c r="L46" s="96">
        <f>IF(AND($E46="Master",$F46="1st"),'Point Schedule'!$I$42,IF(AND($E46="Master",$F46="2nd"),'Point Schedule'!$I$43,IF(AND($E46="Master",$F46="3rd"),'Point Schedule'!$I$44,IF(AND($E46="Master",$F46="4th"),'Point Schedule'!$I$45,0))))</f>
        <v>0</v>
      </c>
      <c r="M46" s="162">
        <f>IF(AND($B46=$B95,AND($G46=$G95),NOT($G46=0),NOT($B46=0),NOT($E46=$E95)),'Point Schedule'!$C$50,0)</f>
        <v>0</v>
      </c>
      <c r="N46" s="73">
        <f>IF(AND($E46="Master",$G46="Yes"),'Point Schedule'!$I$47,0)</f>
        <v>0</v>
      </c>
      <c r="O46" s="73">
        <f>IF(AND($E46="Novice",$G46="Yes"),'Point Schedule'!$C$47,IF(AND($E46="Advanced",$G46="Yes"),'Point Schedule'!$E$47,IF(AND($E46="Excellent",$G46="Yes"),'Point Schedule'!$G$47,0)))</f>
        <v>0</v>
      </c>
      <c r="P46" s="761"/>
      <c r="Q46" s="3"/>
      <c r="R46" s="3"/>
      <c r="S46" s="3"/>
      <c r="T46" s="3"/>
      <c r="U46" s="3"/>
      <c r="V46" s="3"/>
      <c r="W46" s="3"/>
      <c r="X46" s="3"/>
      <c r="Y46" s="3"/>
    </row>
    <row r="47" spans="1:25" ht="20.149999999999999" customHeight="1" x14ac:dyDescent="0.6">
      <c r="A47" s="387"/>
      <c r="B47" s="204"/>
      <c r="C47" s="545"/>
      <c r="D47" s="547"/>
      <c r="E47" s="205"/>
      <c r="F47" s="205"/>
      <c r="G47" s="205"/>
      <c r="H47" s="96">
        <f>IF(AND($E47="Novice",$F47="1st"),'Point Schedule'!$C$42,IF(AND($E47="Novice",$F47="2nd"),'Point Schedule'!$C$43,IF(AND($E47="Novice",$F47="3rd"),'Point Schedule'!$C$44,IF(AND($E47="Novice",$F47="4th"),'Point Schedule'!$C$45,0))))</f>
        <v>0</v>
      </c>
      <c r="I47" s="96">
        <f>IF(AND($E47="Intermediate",$F47="1st"),'Point Schedule'!$C$42,IF(AND($E47="Intermediate",$F47="2nd"),'Point Schedule'!$C$43,IF(AND($E47="Intermediate",$F47="3rd"),'Point Schedule'!$C$44,IF(AND($E47="Intermediate",$F47="4th"),'Point Schedule'!$C$45,0))))</f>
        <v>0</v>
      </c>
      <c r="J47" s="96">
        <f>IF(AND($E47="Advanced",$F47="1st"),'Point Schedule'!$E$42,IF(AND($E47="Advanced",$F47="2nd"),'Point Schedule'!$E$43,IF(AND($E47="Advanced",$F47="3rd"),'Point Schedule'!$E$44,IF(AND($E47="Advanced",$F47="4th"),'Point Schedule'!$E$45,0))))</f>
        <v>0</v>
      </c>
      <c r="K47" s="96">
        <f>IF(AND($E47="Excellent",$F47="1st"),'Point Schedule'!$G$42,IF(AND($E47="Excellent",$F47="2nd"),'Point Schedule'!$G$43,IF(AND($E47="Excellent",$F47="3rd"),'Point Schedule'!$G$44,IF(AND($E47="Excellent",$F47="4th"),'Point Schedule'!$G$45,0))))</f>
        <v>0</v>
      </c>
      <c r="L47" s="96">
        <f>IF(AND($E47="Master",$F47="1st"),'Point Schedule'!$I$42,IF(AND($E47="Master",$F47="2nd"),'Point Schedule'!$I$43,IF(AND($E47="Master",$F47="3rd"),'Point Schedule'!$I$44,IF(AND($E47="Master",$F47="4th"),'Point Schedule'!$I$45,0))))</f>
        <v>0</v>
      </c>
      <c r="M47" s="162">
        <f>IF(AND($B47=$B96,AND($G47=$G96),NOT($G47=0),NOT($B47=0),NOT($E47=$E96)),'Point Schedule'!$C$50,0)</f>
        <v>0</v>
      </c>
      <c r="N47" s="73">
        <f>IF(AND($E47="Master",$G47="Yes"),'Point Schedule'!$I$47,0)</f>
        <v>0</v>
      </c>
      <c r="O47" s="73">
        <f>IF(AND($E47="Novice",$G47="Yes"),'Point Schedule'!$C$47,IF(AND($E47="Advanced",$G47="Yes"),'Point Schedule'!$E$47,IF(AND($E47="Excellent",$G47="Yes"),'Point Schedule'!$G$47,0)))</f>
        <v>0</v>
      </c>
      <c r="P47" s="761"/>
      <c r="Q47" s="3"/>
      <c r="R47" s="3"/>
      <c r="S47" s="3"/>
      <c r="T47" s="3"/>
      <c r="U47" s="3"/>
      <c r="V47" s="3"/>
      <c r="W47" s="3"/>
      <c r="X47" s="3"/>
      <c r="Y47" s="3"/>
    </row>
    <row r="48" spans="1:25" ht="20.149999999999999" customHeight="1" x14ac:dyDescent="0.6">
      <c r="A48" s="387"/>
      <c r="B48" s="204"/>
      <c r="C48" s="545"/>
      <c r="D48" s="547"/>
      <c r="E48" s="205"/>
      <c r="F48" s="205"/>
      <c r="G48" s="205"/>
      <c r="H48" s="96">
        <f>IF(AND($E48="Novice",$F48="1st"),'Point Schedule'!$C$42,IF(AND($E48="Novice",$F48="2nd"),'Point Schedule'!$C$43,IF(AND($E48="Novice",$F48="3rd"),'Point Schedule'!$C$44,IF(AND($E48="Novice",$F48="4th"),'Point Schedule'!$C$45,0))))</f>
        <v>0</v>
      </c>
      <c r="I48" s="96">
        <f>IF(AND($E48="Intermediate",$F48="1st"),'Point Schedule'!$C$42,IF(AND($E48="Intermediate",$F48="2nd"),'Point Schedule'!$C$43,IF(AND($E48="Intermediate",$F48="3rd"),'Point Schedule'!$C$44,IF(AND($E48="Intermediate",$F48="4th"),'Point Schedule'!$C$45,0))))</f>
        <v>0</v>
      </c>
      <c r="J48" s="96">
        <f>IF(AND($E48="Advanced",$F48="1st"),'Point Schedule'!$E$42,IF(AND($E48="Advanced",$F48="2nd"),'Point Schedule'!$E$43,IF(AND($E48="Advanced",$F48="3rd"),'Point Schedule'!$E$44,IF(AND($E48="Advanced",$F48="4th"),'Point Schedule'!$E$45,0))))</f>
        <v>0</v>
      </c>
      <c r="K48" s="96">
        <f>IF(AND($E48="Excellent",$F48="1st"),'Point Schedule'!$G$42,IF(AND($E48="Excellent",$F48="2nd"),'Point Schedule'!$G$43,IF(AND($E48="Excellent",$F48="3rd"),'Point Schedule'!$G$44,IF(AND($E48="Excellent",$F48="4th"),'Point Schedule'!$G$45,0))))</f>
        <v>0</v>
      </c>
      <c r="L48" s="96">
        <f>IF(AND($E48="Master",$F48="1st"),'Point Schedule'!$I$42,IF(AND($E48="Master",$F48="2nd"),'Point Schedule'!$I$43,IF(AND($E48="Master",$F48="3rd"),'Point Schedule'!$I$44,IF(AND($E48="Master",$F48="4th"),'Point Schedule'!$I$45,0))))</f>
        <v>0</v>
      </c>
      <c r="M48" s="162">
        <f>IF(AND($B48=$B97,AND($G48=$G97),NOT($G48=0),NOT($B48=0),NOT($E48=$E97)),'Point Schedule'!$C$50,0)</f>
        <v>0</v>
      </c>
      <c r="N48" s="73">
        <f>IF(AND($E48="Master",$G48="Yes"),'Point Schedule'!$I$47,0)</f>
        <v>0</v>
      </c>
      <c r="O48" s="73">
        <f>IF(AND($E48="Novice",$G48="Yes"),'Point Schedule'!$C$47,IF(AND($E48="Advanced",$G48="Yes"),'Point Schedule'!$E$47,IF(AND($E48="Excellent",$G48="Yes"),'Point Schedule'!$G$47,0)))</f>
        <v>0</v>
      </c>
      <c r="P48" s="761"/>
      <c r="Q48" s="3"/>
      <c r="R48" s="3"/>
      <c r="S48" s="3"/>
      <c r="T48" s="3"/>
      <c r="U48" s="3"/>
      <c r="V48" s="3"/>
      <c r="W48" s="3"/>
      <c r="X48" s="3"/>
      <c r="Y48" s="3"/>
    </row>
    <row r="49" spans="1:25" ht="20.149999999999999" customHeight="1" x14ac:dyDescent="0.6">
      <c r="A49" s="387"/>
      <c r="B49" s="204"/>
      <c r="C49" s="545"/>
      <c r="D49" s="547"/>
      <c r="E49" s="205"/>
      <c r="F49" s="205"/>
      <c r="G49" s="205"/>
      <c r="H49" s="96">
        <f>IF(AND($E49="Novice",$F49="1st"),'Point Schedule'!$C$42,IF(AND($E49="Novice",$F49="2nd"),'Point Schedule'!$C$43,IF(AND($E49="Novice",$F49="3rd"),'Point Schedule'!$C$44,IF(AND($E49="Novice",$F49="4th"),'Point Schedule'!$C$45,0))))</f>
        <v>0</v>
      </c>
      <c r="I49" s="96">
        <f>IF(AND($E49="Intermediate",$F49="1st"),'Point Schedule'!$C$42,IF(AND($E49="Intermediate",$F49="2nd"),'Point Schedule'!$C$43,IF(AND($E49="Intermediate",$F49="3rd"),'Point Schedule'!$C$44,IF(AND($E49="Intermediate",$F49="4th"),'Point Schedule'!$C$45,0))))</f>
        <v>0</v>
      </c>
      <c r="J49" s="96">
        <f>IF(AND($E49="Advanced",$F49="1st"),'Point Schedule'!$E$42,IF(AND($E49="Advanced",$F49="2nd"),'Point Schedule'!$E$43,IF(AND($E49="Advanced",$F49="3rd"),'Point Schedule'!$E$44,IF(AND($E49="Advanced",$F49="4th"),'Point Schedule'!$E$45,0))))</f>
        <v>0</v>
      </c>
      <c r="K49" s="96">
        <f>IF(AND($E49="Excellent",$F49="1st"),'Point Schedule'!$G$42,IF(AND($E49="Excellent",$F49="2nd"),'Point Schedule'!$G$43,IF(AND($E49="Excellent",$F49="3rd"),'Point Schedule'!$G$44,IF(AND($E49="Excellent",$F49="4th"),'Point Schedule'!$G$45,0))))</f>
        <v>0</v>
      </c>
      <c r="L49" s="96">
        <f>IF(AND($E49="Master",$F49="1st"),'Point Schedule'!$I$42,IF(AND($E49="Master",$F49="2nd"),'Point Schedule'!$I$43,IF(AND($E49="Master",$F49="3rd"),'Point Schedule'!$I$44,IF(AND($E49="Master",$F49="4th"),'Point Schedule'!$I$45,0))))</f>
        <v>0</v>
      </c>
      <c r="M49" s="162">
        <f>IF(AND($B49=$B98,AND($G49=$G98),NOT($G49=0),NOT($B49=0),NOT($E49=$E98)),'Point Schedule'!$C$50,0)</f>
        <v>0</v>
      </c>
      <c r="N49" s="73">
        <f>IF(AND($E49="Master",$G49="Yes"),'Point Schedule'!$I$47,0)</f>
        <v>0</v>
      </c>
      <c r="O49" s="73">
        <f>IF(AND($E49="Novice",$G49="Yes"),'Point Schedule'!$C$47,IF(AND($E49="Advanced",$G49="Yes"),'Point Schedule'!$E$47,IF(AND($E49="Excellent",$G49="Yes"),'Point Schedule'!$G$47,0)))</f>
        <v>0</v>
      </c>
      <c r="P49" s="761"/>
      <c r="Q49" s="3"/>
      <c r="R49" s="3"/>
      <c r="S49" s="3"/>
      <c r="T49" s="3"/>
      <c r="U49" s="3"/>
      <c r="V49" s="3"/>
      <c r="W49" s="3"/>
      <c r="X49" s="3"/>
      <c r="Y49" s="3"/>
    </row>
    <row r="50" spans="1:25" ht="20.149999999999999" customHeight="1" x14ac:dyDescent="0.6">
      <c r="A50" s="387"/>
      <c r="B50" s="204"/>
      <c r="C50" s="545"/>
      <c r="D50" s="547"/>
      <c r="E50" s="205"/>
      <c r="F50" s="205"/>
      <c r="G50" s="205"/>
      <c r="H50" s="96">
        <f>IF(AND($E50="Novice",$F50="1st"),'Point Schedule'!$C$42,IF(AND($E50="Novice",$F50="2nd"),'Point Schedule'!$C$43,IF(AND($E50="Novice",$F50="3rd"),'Point Schedule'!$C$44,IF(AND($E50="Novice",$F50="4th"),'Point Schedule'!$C$45,0))))</f>
        <v>0</v>
      </c>
      <c r="I50" s="96">
        <f>IF(AND($E50="Intermediate",$F50="1st"),'Point Schedule'!$C$42,IF(AND($E50="Intermediate",$F50="2nd"),'Point Schedule'!$C$43,IF(AND($E50="Intermediate",$F50="3rd"),'Point Schedule'!$C$44,IF(AND($E50="Intermediate",$F50="4th"),'Point Schedule'!$C$45,0))))</f>
        <v>0</v>
      </c>
      <c r="J50" s="96">
        <f>IF(AND($E50="Advanced",$F50="1st"),'Point Schedule'!$E$42,IF(AND($E50="Advanced",$F50="2nd"),'Point Schedule'!$E$43,IF(AND($E50="Advanced",$F50="3rd"),'Point Schedule'!$E$44,IF(AND($E50="Advanced",$F50="4th"),'Point Schedule'!$E$45,0))))</f>
        <v>0</v>
      </c>
      <c r="K50" s="96">
        <f>IF(AND($E50="Excellent",$F50="1st"),'Point Schedule'!$G$42,IF(AND($E50="Excellent",$F50="2nd"),'Point Schedule'!$G$43,IF(AND($E50="Excellent",$F50="3rd"),'Point Schedule'!$G$44,IF(AND($E50="Excellent",$F50="4th"),'Point Schedule'!$G$45,0))))</f>
        <v>0</v>
      </c>
      <c r="L50" s="96">
        <f>IF(AND($E50="Master",$F50="1st"),'Point Schedule'!$I$42,IF(AND($E50="Master",$F50="2nd"),'Point Schedule'!$I$43,IF(AND($E50="Master",$F50="3rd"),'Point Schedule'!$I$44,IF(AND($E50="Master",$F50="4th"),'Point Schedule'!$I$45,0))))</f>
        <v>0</v>
      </c>
      <c r="M50" s="162">
        <f>IF(AND($B50=$B99,AND($G50=$G99),NOT($G50=0),NOT($B50=0),NOT($E50=$E99)),'Point Schedule'!$C$50,0)</f>
        <v>0</v>
      </c>
      <c r="N50" s="73">
        <f>IF(AND($E50="Master",$G50="Yes"),'Point Schedule'!$I$47,0)</f>
        <v>0</v>
      </c>
      <c r="O50" s="73">
        <f>IF(AND($E50="Novice",$G50="Yes"),'Point Schedule'!$C$47,IF(AND($E50="Advanced",$G50="Yes"),'Point Schedule'!$E$47,IF(AND($E50="Excellent",$G50="Yes"),'Point Schedule'!$G$47,0)))</f>
        <v>0</v>
      </c>
      <c r="P50" s="761"/>
      <c r="Q50" s="3"/>
      <c r="R50" s="3"/>
      <c r="S50" s="3"/>
      <c r="T50" s="3"/>
      <c r="U50" s="3"/>
      <c r="V50" s="3"/>
      <c r="W50" s="3"/>
      <c r="X50" s="3"/>
      <c r="Y50" s="3"/>
    </row>
    <row r="51" spans="1:25" ht="20.149999999999999" customHeight="1" x14ac:dyDescent="0.6">
      <c r="A51" s="387"/>
      <c r="B51" s="204"/>
      <c r="C51" s="545"/>
      <c r="D51" s="547"/>
      <c r="E51" s="205"/>
      <c r="F51" s="205"/>
      <c r="G51" s="205"/>
      <c r="H51" s="96">
        <f>IF(AND($E51="Novice",$F51="1st"),'Point Schedule'!$C$42,IF(AND($E51="Novice",$F51="2nd"),'Point Schedule'!$C$43,IF(AND($E51="Novice",$F51="3rd"),'Point Schedule'!$C$44,IF(AND($E51="Novice",$F51="4th"),'Point Schedule'!$C$45,0))))</f>
        <v>0</v>
      </c>
      <c r="I51" s="96">
        <f>IF(AND($E51="Intermediate",$F51="1st"),'Point Schedule'!$C$42,IF(AND($E51="Intermediate",$F51="2nd"),'Point Schedule'!$C$43,IF(AND($E51="Intermediate",$F51="3rd"),'Point Schedule'!$C$44,IF(AND($E51="Intermediate",$F51="4th"),'Point Schedule'!$C$45,0))))</f>
        <v>0</v>
      </c>
      <c r="J51" s="96">
        <f>IF(AND($E51="Advanced",$F51="1st"),'Point Schedule'!$E$42,IF(AND($E51="Advanced",$F51="2nd"),'Point Schedule'!$E$43,IF(AND($E51="Advanced",$F51="3rd"),'Point Schedule'!$E$44,IF(AND($E51="Advanced",$F51="4th"),'Point Schedule'!$E$45,0))))</f>
        <v>0</v>
      </c>
      <c r="K51" s="96">
        <f>IF(AND($E51="Excellent",$F51="1st"),'Point Schedule'!$G$42,IF(AND($E51="Excellent",$F51="2nd"),'Point Schedule'!$G$43,IF(AND($E51="Excellent",$F51="3rd"),'Point Schedule'!$G$44,IF(AND($E51="Excellent",$F51="4th"),'Point Schedule'!$G$45,0))))</f>
        <v>0</v>
      </c>
      <c r="L51" s="96">
        <f>IF(AND($E51="Master",$F51="1st"),'Point Schedule'!$I$42,IF(AND($E51="Master",$F51="2nd"),'Point Schedule'!$I$43,IF(AND($E51="Master",$F51="3rd"),'Point Schedule'!$I$44,IF(AND($E51="Master",$F51="4th"),'Point Schedule'!$I$45,0))))</f>
        <v>0</v>
      </c>
      <c r="M51" s="162">
        <f>IF(AND($B51=$B100,AND($G51=$G100),NOT($G51=0),NOT($B51=0),NOT($E51=$E100)),'Point Schedule'!$C$50,0)</f>
        <v>0</v>
      </c>
      <c r="N51" s="73">
        <f>IF(AND($E51="Master",$G51="Yes"),'Point Schedule'!$I$47,0)</f>
        <v>0</v>
      </c>
      <c r="O51" s="73">
        <f>IF(AND($E51="Novice",$G51="Yes"),'Point Schedule'!$C$47,IF(AND($E51="Advanced",$G51="Yes"),'Point Schedule'!$E$47,IF(AND($E51="Excellent",$G51="Yes"),'Point Schedule'!$G$47,0)))</f>
        <v>0</v>
      </c>
      <c r="P51" s="761"/>
      <c r="Q51" s="3"/>
      <c r="R51" s="3"/>
      <c r="S51" s="3"/>
      <c r="T51" s="3"/>
      <c r="U51" s="3"/>
      <c r="V51" s="3"/>
      <c r="W51" s="3"/>
      <c r="X51" s="3"/>
      <c r="Y51" s="3"/>
    </row>
    <row r="52" spans="1:25" ht="20.149999999999999" customHeight="1" x14ac:dyDescent="0.6">
      <c r="A52" s="387"/>
      <c r="B52" s="204"/>
      <c r="C52" s="545"/>
      <c r="D52" s="547"/>
      <c r="E52" s="205"/>
      <c r="F52" s="205"/>
      <c r="G52" s="205"/>
      <c r="H52" s="96">
        <f>IF(AND($E52="Novice",$F52="1st"),'Point Schedule'!$C$42,IF(AND($E52="Novice",$F52="2nd"),'Point Schedule'!$C$43,IF(AND($E52="Novice",$F52="3rd"),'Point Schedule'!$C$44,IF(AND($E52="Novice",$F52="4th"),'Point Schedule'!$C$45,0))))</f>
        <v>0</v>
      </c>
      <c r="I52" s="96">
        <f>IF(AND($E52="Intermediate",$F52="1st"),'Point Schedule'!$C$42,IF(AND($E52="Intermediate",$F52="2nd"),'Point Schedule'!$C$43,IF(AND($E52="Intermediate",$F52="3rd"),'Point Schedule'!$C$44,IF(AND($E52="Intermediate",$F52="4th"),'Point Schedule'!$C$45,0))))</f>
        <v>0</v>
      </c>
      <c r="J52" s="96">
        <f>IF(AND($E52="Advanced",$F52="1st"),'Point Schedule'!$E$42,IF(AND($E52="Advanced",$F52="2nd"),'Point Schedule'!$E$43,IF(AND($E52="Advanced",$F52="3rd"),'Point Schedule'!$E$44,IF(AND($E52="Advanced",$F52="4th"),'Point Schedule'!$E$45,0))))</f>
        <v>0</v>
      </c>
      <c r="K52" s="96">
        <f>IF(AND($E52="Excellent",$F52="1st"),'Point Schedule'!$G$42,IF(AND($E52="Excellent",$F52="2nd"),'Point Schedule'!$G$43,IF(AND($E52="Excellent",$F52="3rd"),'Point Schedule'!$G$44,IF(AND($E52="Excellent",$F52="4th"),'Point Schedule'!$G$45,0))))</f>
        <v>0</v>
      </c>
      <c r="L52" s="96">
        <f>IF(AND($E52="Master",$F52="1st"),'Point Schedule'!$I$42,IF(AND($E52="Master",$F52="2nd"),'Point Schedule'!$I$43,IF(AND($E52="Master",$F52="3rd"),'Point Schedule'!$I$44,IF(AND($E52="Master",$F52="4th"),'Point Schedule'!$I$45,0))))</f>
        <v>0</v>
      </c>
      <c r="M52" s="162">
        <f>IF(AND($B52=$B101,AND($G52=$G101),NOT($G52=0),NOT($B52=0),NOT($E52=$E101)),'Point Schedule'!$C$50,0)</f>
        <v>0</v>
      </c>
      <c r="N52" s="73">
        <f>IF(AND($E52="Master",$G52="Yes"),'Point Schedule'!$I$47,0)</f>
        <v>0</v>
      </c>
      <c r="O52" s="73">
        <f>IF(AND($E52="Novice",$G52="Yes"),'Point Schedule'!$C$47,IF(AND($E52="Advanced",$G52="Yes"),'Point Schedule'!$E$47,IF(AND($E52="Excellent",$G52="Yes"),'Point Schedule'!$G$47,0)))</f>
        <v>0</v>
      </c>
      <c r="P52" s="761"/>
      <c r="Q52" s="3"/>
      <c r="R52" s="3"/>
      <c r="S52" s="3"/>
      <c r="T52" s="3"/>
      <c r="U52" s="3"/>
      <c r="V52" s="3"/>
      <c r="W52" s="3"/>
      <c r="X52" s="3"/>
      <c r="Y52" s="3"/>
    </row>
    <row r="53" spans="1:25" ht="20.149999999999999" customHeight="1" x14ac:dyDescent="0.6">
      <c r="A53" s="387"/>
      <c r="B53" s="204"/>
      <c r="C53" s="545"/>
      <c r="D53" s="547"/>
      <c r="E53" s="205"/>
      <c r="F53" s="205"/>
      <c r="G53" s="205"/>
      <c r="H53" s="96">
        <f>IF(AND($E53="Novice",$F53="1st"),'Point Schedule'!$C$42,IF(AND($E53="Novice",$F53="2nd"),'Point Schedule'!$C$43,IF(AND($E53="Novice",$F53="3rd"),'Point Schedule'!$C$44,IF(AND($E53="Novice",$F53="4th"),'Point Schedule'!$C$45,0))))</f>
        <v>0</v>
      </c>
      <c r="I53" s="96">
        <f>IF(AND($E53="Intermediate",$F53="1st"),'Point Schedule'!$C$42,IF(AND($E53="Intermediate",$F53="2nd"),'Point Schedule'!$C$43,IF(AND($E53="Intermediate",$F53="3rd"),'Point Schedule'!$C$44,IF(AND($E53="Intermediate",$F53="4th"),'Point Schedule'!$C$45,0))))</f>
        <v>0</v>
      </c>
      <c r="J53" s="96">
        <f>IF(AND($E53="Advanced",$F53="1st"),'Point Schedule'!$E$42,IF(AND($E53="Advanced",$F53="2nd"),'Point Schedule'!$E$43,IF(AND($E53="Advanced",$F53="3rd"),'Point Schedule'!$E$44,IF(AND($E53="Advanced",$F53="4th"),'Point Schedule'!$E$45,0))))</f>
        <v>0</v>
      </c>
      <c r="K53" s="96">
        <f>IF(AND($E53="Excellent",$F53="1st"),'Point Schedule'!$G$42,IF(AND($E53="Excellent",$F53="2nd"),'Point Schedule'!$G$43,IF(AND($E53="Excellent",$F53="3rd"),'Point Schedule'!$G$44,IF(AND($E53="Excellent",$F53="4th"),'Point Schedule'!$G$45,0))))</f>
        <v>0</v>
      </c>
      <c r="L53" s="96">
        <f>IF(AND($E53="Master",$F53="1st"),'Point Schedule'!$I$42,IF(AND($E53="Master",$F53="2nd"),'Point Schedule'!$I$43,IF(AND($E53="Master",$F53="3rd"),'Point Schedule'!$I$44,IF(AND($E53="Master",$F53="4th"),'Point Schedule'!$I$45,0))))</f>
        <v>0</v>
      </c>
      <c r="M53" s="162">
        <f>IF(AND($B53=$B102,AND($G53=$G102),NOT($G53=0),NOT($B53=0),NOT($E53=$E102)),'Point Schedule'!$C$50,0)</f>
        <v>0</v>
      </c>
      <c r="N53" s="73">
        <f>IF(AND($E53="Master",$G53="Yes"),'Point Schedule'!$I$47,0)</f>
        <v>0</v>
      </c>
      <c r="O53" s="73">
        <f>IF(AND($E53="Novice",$G53="Yes"),'Point Schedule'!$C$47,IF(AND($E53="Advanced",$G53="Yes"),'Point Schedule'!$E$47,IF(AND($E53="Excellent",$G53="Yes"),'Point Schedule'!$G$47,0)))</f>
        <v>0</v>
      </c>
      <c r="P53" s="761"/>
      <c r="Q53" s="3"/>
      <c r="R53" s="3"/>
      <c r="S53" s="3"/>
      <c r="T53" s="3"/>
      <c r="U53" s="3"/>
      <c r="V53" s="3"/>
      <c r="W53" s="3"/>
      <c r="X53" s="3"/>
      <c r="Y53" s="3"/>
    </row>
    <row r="54" spans="1:25" ht="20.149999999999999" customHeight="1" x14ac:dyDescent="0.6">
      <c r="A54" s="387"/>
      <c r="B54" s="204"/>
      <c r="C54" s="545"/>
      <c r="D54" s="547"/>
      <c r="E54" s="205"/>
      <c r="F54" s="205"/>
      <c r="G54" s="205"/>
      <c r="H54" s="96">
        <f>IF(AND($E54="Novice",$F54="1st"),'Point Schedule'!$C$42,IF(AND($E54="Novice",$F54="2nd"),'Point Schedule'!$C$43,IF(AND($E54="Novice",$F54="3rd"),'Point Schedule'!$C$44,IF(AND($E54="Novice",$F54="4th"),'Point Schedule'!$C$45,0))))</f>
        <v>0</v>
      </c>
      <c r="I54" s="96">
        <f>IF(AND($E54="Intermediate",$F54="1st"),'Point Schedule'!$C$42,IF(AND($E54="Intermediate",$F54="2nd"),'Point Schedule'!$C$43,IF(AND($E54="Intermediate",$F54="3rd"),'Point Schedule'!$C$44,IF(AND($E54="Intermediate",$F54="4th"),'Point Schedule'!$C$45,0))))</f>
        <v>0</v>
      </c>
      <c r="J54" s="96">
        <f>IF(AND($E54="Advanced",$F54="1st"),'Point Schedule'!$E$42,IF(AND($E54="Advanced",$F54="2nd"),'Point Schedule'!$E$43,IF(AND($E54="Advanced",$F54="3rd"),'Point Schedule'!$E$44,IF(AND($E54="Advanced",$F54="4th"),'Point Schedule'!$E$45,0))))</f>
        <v>0</v>
      </c>
      <c r="K54" s="96">
        <f>IF(AND($E54="Excellent",$F54="1st"),'Point Schedule'!$G$42,IF(AND($E54="Excellent",$F54="2nd"),'Point Schedule'!$G$43,IF(AND($E54="Excellent",$F54="3rd"),'Point Schedule'!$G$44,IF(AND($E54="Excellent",$F54="4th"),'Point Schedule'!$G$45,0))))</f>
        <v>0</v>
      </c>
      <c r="L54" s="96">
        <f>IF(AND($E54="Master",$F54="1st"),'Point Schedule'!$I$42,IF(AND($E54="Master",$F54="2nd"),'Point Schedule'!$I$43,IF(AND($E54="Master",$F54="3rd"),'Point Schedule'!$I$44,IF(AND($E54="Master",$F54="4th"),'Point Schedule'!$I$45,0))))</f>
        <v>0</v>
      </c>
      <c r="M54" s="162">
        <f>IF(AND($B54=$B103,AND($G54=$G103),NOT($G54=0),NOT($B54=0),NOT($E54=$E103)),'Point Schedule'!$C$50,0)</f>
        <v>0</v>
      </c>
      <c r="N54" s="73">
        <f>IF(AND($E54="Master",$G54="Yes"),'Point Schedule'!$I$47,0)</f>
        <v>0</v>
      </c>
      <c r="O54" s="73">
        <f>IF(AND($E54="Novice",$G54="Yes"),'Point Schedule'!$C$47,IF(AND($E54="Advanced",$G54="Yes"),'Point Schedule'!$E$47,IF(AND($E54="Excellent",$G54="Yes"),'Point Schedule'!$G$47,0)))</f>
        <v>0</v>
      </c>
      <c r="P54" s="761"/>
      <c r="Q54" s="3"/>
      <c r="R54" s="3"/>
      <c r="S54" s="3"/>
      <c r="T54" s="3"/>
      <c r="U54" s="3"/>
      <c r="V54" s="3"/>
      <c r="W54" s="3"/>
      <c r="X54" s="3"/>
      <c r="Y54" s="3"/>
    </row>
    <row r="55" spans="1:25" ht="20.149999999999999" customHeight="1" x14ac:dyDescent="0.6">
      <c r="A55" s="387"/>
      <c r="B55" s="204"/>
      <c r="C55" s="545"/>
      <c r="D55" s="547"/>
      <c r="E55" s="205"/>
      <c r="F55" s="205"/>
      <c r="G55" s="205"/>
      <c r="H55" s="96">
        <f>IF(AND($E55="Novice",$F55="1st"),'Point Schedule'!$C$42,IF(AND($E55="Novice",$F55="2nd"),'Point Schedule'!$C$43,IF(AND($E55="Novice",$F55="3rd"),'Point Schedule'!$C$44,IF(AND($E55="Novice",$F55="4th"),'Point Schedule'!$C$45,0))))</f>
        <v>0</v>
      </c>
      <c r="I55" s="96">
        <f>IF(AND($E55="Intermediate",$F55="1st"),'Point Schedule'!$C$42,IF(AND($E55="Intermediate",$F55="2nd"),'Point Schedule'!$C$43,IF(AND($E55="Intermediate",$F55="3rd"),'Point Schedule'!$C$44,IF(AND($E55="Intermediate",$F55="4th"),'Point Schedule'!$C$45,0))))</f>
        <v>0</v>
      </c>
      <c r="J55" s="96">
        <f>IF(AND($E55="Advanced",$F55="1st"),'Point Schedule'!$E$42,IF(AND($E55="Advanced",$F55="2nd"),'Point Schedule'!$E$43,IF(AND($E55="Advanced",$F55="3rd"),'Point Schedule'!$E$44,IF(AND($E55="Advanced",$F55="4th"),'Point Schedule'!$E$45,0))))</f>
        <v>0</v>
      </c>
      <c r="K55" s="96">
        <f>IF(AND($E55="Excellent",$F55="1st"),'Point Schedule'!$G$42,IF(AND($E55="Excellent",$F55="2nd"),'Point Schedule'!$G$43,IF(AND($E55="Excellent",$F55="3rd"),'Point Schedule'!$G$44,IF(AND($E55="Excellent",$F55="4th"),'Point Schedule'!$G$45,0))))</f>
        <v>0</v>
      </c>
      <c r="L55" s="96">
        <f>IF(AND($E55="Master",$F55="1st"),'Point Schedule'!$I$42,IF(AND($E55="Master",$F55="2nd"),'Point Schedule'!$I$43,IF(AND($E55="Master",$F55="3rd"),'Point Schedule'!$I$44,IF(AND($E55="Master",$F55="4th"),'Point Schedule'!$I$45,0))))</f>
        <v>0</v>
      </c>
      <c r="M55" s="162">
        <f>IF(AND($B55=$B104,AND($G55=$G104),NOT($G55=0),NOT($B55=0),NOT($E55=$E104)),'Point Schedule'!$C$50,0)</f>
        <v>0</v>
      </c>
      <c r="N55" s="73">
        <f>IF(AND($E55="Master",$G55="Yes"),'Point Schedule'!$I$47,0)</f>
        <v>0</v>
      </c>
      <c r="O55" s="73">
        <f>IF(AND($E55="Novice",$G55="Yes"),'Point Schedule'!$C$47,IF(AND($E55="Advanced",$G55="Yes"),'Point Schedule'!$E$47,IF(AND($E55="Excellent",$G55="Yes"),'Point Schedule'!$G$47,0)))</f>
        <v>0</v>
      </c>
      <c r="P55" s="761"/>
      <c r="Q55" s="3"/>
      <c r="R55" s="3"/>
      <c r="S55" s="3"/>
      <c r="T55" s="3"/>
      <c r="U55" s="3"/>
      <c r="V55" s="3"/>
      <c r="W55" s="3"/>
      <c r="X55" s="3"/>
      <c r="Y55" s="3"/>
    </row>
    <row r="56" spans="1:25" ht="20.149999999999999" customHeight="1" x14ac:dyDescent="0.6">
      <c r="A56" s="387"/>
      <c r="B56" s="204"/>
      <c r="C56" s="545"/>
      <c r="D56" s="547"/>
      <c r="E56" s="205"/>
      <c r="F56" s="205"/>
      <c r="G56" s="205"/>
      <c r="H56" s="96">
        <f>IF(AND($E56="Novice",$F56="1st"),'Point Schedule'!$C$42,IF(AND($E56="Novice",$F56="2nd"),'Point Schedule'!$C$43,IF(AND($E56="Novice",$F56="3rd"),'Point Schedule'!$C$44,IF(AND($E56="Novice",$F56="4th"),'Point Schedule'!$C$45,0))))</f>
        <v>0</v>
      </c>
      <c r="I56" s="96">
        <f>IF(AND($E56="Intermediate",$F56="1st"),'Point Schedule'!$C$42,IF(AND($E56="Intermediate",$F56="2nd"),'Point Schedule'!$C$43,IF(AND($E56="Intermediate",$F56="3rd"),'Point Schedule'!$C$44,IF(AND($E56="Intermediate",$F56="4th"),'Point Schedule'!$C$45,0))))</f>
        <v>0</v>
      </c>
      <c r="J56" s="96">
        <f>IF(AND($E56="Advanced",$F56="1st"),'Point Schedule'!$E$42,IF(AND($E56="Advanced",$F56="2nd"),'Point Schedule'!$E$43,IF(AND($E56="Advanced",$F56="3rd"),'Point Schedule'!$E$44,IF(AND($E56="Advanced",$F56="4th"),'Point Schedule'!$E$45,0))))</f>
        <v>0</v>
      </c>
      <c r="K56" s="96">
        <f>IF(AND($E56="Excellent",$F56="1st"),'Point Schedule'!$G$42,IF(AND($E56="Excellent",$F56="2nd"),'Point Schedule'!$G$43,IF(AND($E56="Excellent",$F56="3rd"),'Point Schedule'!$G$44,IF(AND($E56="Excellent",$F56="4th"),'Point Schedule'!$G$45,0))))</f>
        <v>0</v>
      </c>
      <c r="L56" s="96">
        <f>IF(AND($E56="Master",$F56="1st"),'Point Schedule'!$I$42,IF(AND($E56="Master",$F56="2nd"),'Point Schedule'!$I$43,IF(AND($E56="Master",$F56="3rd"),'Point Schedule'!$I$44,IF(AND($E56="Master",$F56="4th"),'Point Schedule'!$I$45,0))))</f>
        <v>0</v>
      </c>
      <c r="M56" s="162">
        <f>IF(AND($B56=$B105,AND($G56=$G105),NOT($G56=0),NOT($B56=0),NOT($E56=$E105)),'Point Schedule'!$C$50,0)</f>
        <v>0</v>
      </c>
      <c r="N56" s="73">
        <f>IF(AND($E56="Master",$G56="Yes"),'Point Schedule'!$I$47,0)</f>
        <v>0</v>
      </c>
      <c r="O56" s="73">
        <f>IF(AND($E56="Novice",$G56="Yes"),'Point Schedule'!$C$47,IF(AND($E56="Advanced",$G56="Yes"),'Point Schedule'!$E$47,IF(AND($E56="Excellent",$G56="Yes"),'Point Schedule'!$G$47,0)))</f>
        <v>0</v>
      </c>
      <c r="P56" s="761"/>
      <c r="Q56" s="3"/>
      <c r="R56" s="3"/>
      <c r="S56" s="3"/>
      <c r="T56" s="3"/>
      <c r="U56" s="3"/>
      <c r="V56" s="3"/>
      <c r="W56" s="3"/>
      <c r="X56" s="3"/>
      <c r="Y56" s="3"/>
    </row>
    <row r="57" spans="1:25" ht="20.149999999999999" customHeight="1" x14ac:dyDescent="0.6">
      <c r="A57" s="387"/>
      <c r="B57" s="204"/>
      <c r="C57" s="545"/>
      <c r="D57" s="547"/>
      <c r="E57" s="205"/>
      <c r="F57" s="205"/>
      <c r="G57" s="205"/>
      <c r="H57" s="96">
        <f>IF(AND($E57="Novice",$F57="1st"),'Point Schedule'!$C$42,IF(AND($E57="Novice",$F57="2nd"),'Point Schedule'!$C$43,IF(AND($E57="Novice",$F57="3rd"),'Point Schedule'!$C$44,IF(AND($E57="Novice",$F57="4th"),'Point Schedule'!$C$45,0))))</f>
        <v>0</v>
      </c>
      <c r="I57" s="96">
        <f>IF(AND($E57="Intermediate",$F57="1st"),'Point Schedule'!$C$42,IF(AND($E57="Intermediate",$F57="2nd"),'Point Schedule'!$C$43,IF(AND($E57="Intermediate",$F57="3rd"),'Point Schedule'!$C$44,IF(AND($E57="Intermediate",$F57="4th"),'Point Schedule'!$C$45,0))))</f>
        <v>0</v>
      </c>
      <c r="J57" s="96">
        <f>IF(AND($E57="Advanced",$F57="1st"),'Point Schedule'!$E$42,IF(AND($E57="Advanced",$F57="2nd"),'Point Schedule'!$E$43,IF(AND($E57="Advanced",$F57="3rd"),'Point Schedule'!$E$44,IF(AND($E57="Advanced",$F57="4th"),'Point Schedule'!$E$45,0))))</f>
        <v>0</v>
      </c>
      <c r="K57" s="96">
        <f>IF(AND($E57="Excellent",$F57="1st"),'Point Schedule'!$G$42,IF(AND($E57="Excellent",$F57="2nd"),'Point Schedule'!$G$43,IF(AND($E57="Excellent",$F57="3rd"),'Point Schedule'!$G$44,IF(AND($E57="Excellent",$F57="4th"),'Point Schedule'!$G$45,0))))</f>
        <v>0</v>
      </c>
      <c r="L57" s="96">
        <f>IF(AND($E57="Master",$F57="1st"),'Point Schedule'!$I$42,IF(AND($E57="Master",$F57="2nd"),'Point Schedule'!$I$43,IF(AND($E57="Master",$F57="3rd"),'Point Schedule'!$I$44,IF(AND($E57="Master",$F57="4th"),'Point Schedule'!$I$45,0))))</f>
        <v>0</v>
      </c>
      <c r="M57" s="162">
        <f>IF(AND($B57=$B106,AND($G57=$G106),NOT($G57=0),NOT($B57=0),NOT($E57=$E106)),'Point Schedule'!$C$50,0)</f>
        <v>0</v>
      </c>
      <c r="N57" s="73">
        <f>IF(AND($E57="Master",$G57="Yes"),'Point Schedule'!$I$47,0)</f>
        <v>0</v>
      </c>
      <c r="O57" s="73">
        <f>IF(AND($E57="Novice",$G57="Yes"),'Point Schedule'!$C$47,IF(AND($E57="Advanced",$G57="Yes"),'Point Schedule'!$E$47,IF(AND($E57="Excellent",$G57="Yes"),'Point Schedule'!$G$47,0)))</f>
        <v>0</v>
      </c>
      <c r="P57" s="761"/>
      <c r="Q57" s="3"/>
      <c r="R57" s="3"/>
      <c r="S57" s="3"/>
      <c r="T57" s="3"/>
      <c r="U57" s="3"/>
      <c r="V57" s="3"/>
      <c r="W57" s="3"/>
      <c r="X57" s="3"/>
      <c r="Y57" s="3"/>
    </row>
    <row r="58" spans="1:25" ht="20.149999999999999" customHeight="1" x14ac:dyDescent="0.6">
      <c r="A58" s="387"/>
      <c r="B58" s="204"/>
      <c r="C58" s="545"/>
      <c r="D58" s="547"/>
      <c r="E58" s="205"/>
      <c r="F58" s="205"/>
      <c r="G58" s="205"/>
      <c r="H58" s="96">
        <f>IF(AND($E58="Novice",$F58="1st"),'Point Schedule'!$C$42,IF(AND($E58="Novice",$F58="2nd"),'Point Schedule'!$C$43,IF(AND($E58="Novice",$F58="3rd"),'Point Schedule'!$C$44,IF(AND($E58="Novice",$F58="4th"),'Point Schedule'!$C$45,0))))</f>
        <v>0</v>
      </c>
      <c r="I58" s="96">
        <f>IF(AND($E58="Intermediate",$F58="1st"),'Point Schedule'!$C$42,IF(AND($E58="Intermediate",$F58="2nd"),'Point Schedule'!$C$43,IF(AND($E58="Intermediate",$F58="3rd"),'Point Schedule'!$C$44,IF(AND($E58="Intermediate",$F58="4th"),'Point Schedule'!$C$45,0))))</f>
        <v>0</v>
      </c>
      <c r="J58" s="96">
        <f>IF(AND($E58="Advanced",$F58="1st"),'Point Schedule'!$E$42,IF(AND($E58="Advanced",$F58="2nd"),'Point Schedule'!$E$43,IF(AND($E58="Advanced",$F58="3rd"),'Point Schedule'!$E$44,IF(AND($E58="Advanced",$F58="4th"),'Point Schedule'!$E$45,0))))</f>
        <v>0</v>
      </c>
      <c r="K58" s="96">
        <f>IF(AND($E58="Excellent",$F58="1st"),'Point Schedule'!$G$42,IF(AND($E58="Excellent",$F58="2nd"),'Point Schedule'!$G$43,IF(AND($E58="Excellent",$F58="3rd"),'Point Schedule'!$G$44,IF(AND($E58="Excellent",$F58="4th"),'Point Schedule'!$G$45,0))))</f>
        <v>0</v>
      </c>
      <c r="L58" s="96">
        <f>IF(AND($E58="Master",$F58="1st"),'Point Schedule'!$I$42,IF(AND($E58="Master",$F58="2nd"),'Point Schedule'!$I$43,IF(AND($E58="Master",$F58="3rd"),'Point Schedule'!$I$44,IF(AND($E58="Master",$F58="4th"),'Point Schedule'!$I$45,0))))</f>
        <v>0</v>
      </c>
      <c r="M58" s="162">
        <f>IF(AND($B58=$B107,AND($G58=$G107),NOT($G58=0),NOT($B58=0),NOT($E58=$E107)),'Point Schedule'!$C$50,0)</f>
        <v>0</v>
      </c>
      <c r="N58" s="73">
        <f>IF(AND($E58="Master",$G58="Yes"),'Point Schedule'!$I$47,0)</f>
        <v>0</v>
      </c>
      <c r="O58" s="73">
        <f>IF(AND($E58="Novice",$G58="Yes"),'Point Schedule'!$C$47,IF(AND($E58="Advanced",$G58="Yes"),'Point Schedule'!$E$47,IF(AND($E58="Excellent",$G58="Yes"),'Point Schedule'!$G$47,0)))</f>
        <v>0</v>
      </c>
      <c r="P58" s="761"/>
      <c r="Q58" s="3"/>
      <c r="R58" s="3"/>
      <c r="S58" s="3"/>
      <c r="T58" s="3"/>
      <c r="U58" s="3"/>
      <c r="V58" s="3"/>
      <c r="W58" s="3"/>
      <c r="X58" s="3"/>
      <c r="Y58" s="3"/>
    </row>
    <row r="59" spans="1:25" ht="20.149999999999999" customHeight="1" x14ac:dyDescent="0.6">
      <c r="A59" s="387"/>
      <c r="B59" s="204"/>
      <c r="C59" s="545"/>
      <c r="D59" s="547"/>
      <c r="E59" s="205"/>
      <c r="F59" s="205"/>
      <c r="G59" s="205"/>
      <c r="H59" s="96">
        <f>IF(AND($E59="Novice",$F59="1st"),'Point Schedule'!$C$42,IF(AND($E59="Novice",$F59="2nd"),'Point Schedule'!$C$43,IF(AND($E59="Novice",$F59="3rd"),'Point Schedule'!$C$44,IF(AND($E59="Novice",$F59="4th"),'Point Schedule'!$C$45,0))))</f>
        <v>0</v>
      </c>
      <c r="I59" s="96">
        <f>IF(AND($E59="Intermediate",$F59="1st"),'Point Schedule'!$C$42,IF(AND($E59="Intermediate",$F59="2nd"),'Point Schedule'!$C$43,IF(AND($E59="Intermediate",$F59="3rd"),'Point Schedule'!$C$44,IF(AND($E59="Intermediate",$F59="4th"),'Point Schedule'!$C$45,0))))</f>
        <v>0</v>
      </c>
      <c r="J59" s="96">
        <f>IF(AND($E59="Advanced",$F59="1st"),'Point Schedule'!$E$42,IF(AND($E59="Advanced",$F59="2nd"),'Point Schedule'!$E$43,IF(AND($E59="Advanced",$F59="3rd"),'Point Schedule'!$E$44,IF(AND($E59="Advanced",$F59="4th"),'Point Schedule'!$E$45,0))))</f>
        <v>0</v>
      </c>
      <c r="K59" s="96">
        <f>IF(AND($E59="Excellent",$F59="1st"),'Point Schedule'!$G$42,IF(AND($E59="Excellent",$F59="2nd"),'Point Schedule'!$G$43,IF(AND($E59="Excellent",$F59="3rd"),'Point Schedule'!$G$44,IF(AND($E59="Excellent",$F59="4th"),'Point Schedule'!$G$45,0))))</f>
        <v>0</v>
      </c>
      <c r="L59" s="96">
        <f>IF(AND($E59="Master",$F59="1st"),'Point Schedule'!$I$42,IF(AND($E59="Master",$F59="2nd"),'Point Schedule'!$I$43,IF(AND($E59="Master",$F59="3rd"),'Point Schedule'!$I$44,IF(AND($E59="Master",$F59="4th"),'Point Schedule'!$I$45,0))))</f>
        <v>0</v>
      </c>
      <c r="M59" s="162">
        <f>IF(AND($B59=$B108,AND($G59=$G108),NOT($G59=0),NOT($B59=0),NOT($E59=$E108)),'Point Schedule'!$C$50,0)</f>
        <v>0</v>
      </c>
      <c r="N59" s="73">
        <f>IF(AND($E59="Master",$G59="Yes"),'Point Schedule'!$I$47,0)</f>
        <v>0</v>
      </c>
      <c r="O59" s="73">
        <f>IF(AND($E59="Novice",$G59="Yes"),'Point Schedule'!$C$47,IF(AND($E59="Advanced",$G59="Yes"),'Point Schedule'!$E$47,IF(AND($E59="Excellent",$G59="Yes"),'Point Schedule'!$G$47,0)))</f>
        <v>0</v>
      </c>
      <c r="P59" s="761"/>
      <c r="Q59" s="3"/>
      <c r="R59" s="3"/>
      <c r="S59" s="3"/>
      <c r="T59" s="3"/>
      <c r="U59" s="3"/>
      <c r="V59" s="3"/>
      <c r="W59" s="3"/>
      <c r="X59" s="3"/>
      <c r="Y59" s="3"/>
    </row>
    <row r="60" spans="1:25" ht="20.149999999999999" customHeight="1" x14ac:dyDescent="0.6">
      <c r="A60" s="387"/>
      <c r="B60" s="204"/>
      <c r="C60" s="545"/>
      <c r="D60" s="547"/>
      <c r="E60" s="205"/>
      <c r="F60" s="205"/>
      <c r="G60" s="205"/>
      <c r="H60" s="96">
        <f>IF(AND($E60="Novice",$F60="1st"),'Point Schedule'!$C$42,IF(AND($E60="Novice",$F60="2nd"),'Point Schedule'!$C$43,IF(AND($E60="Novice",$F60="3rd"),'Point Schedule'!$C$44,IF(AND($E60="Novice",$F60="4th"),'Point Schedule'!$C$45,0))))</f>
        <v>0</v>
      </c>
      <c r="I60" s="96">
        <f>IF(AND($E60="Intermediate",$F60="1st"),'Point Schedule'!$C$42,IF(AND($E60="Intermediate",$F60="2nd"),'Point Schedule'!$C$43,IF(AND($E60="Intermediate",$F60="3rd"),'Point Schedule'!$C$44,IF(AND($E60="Intermediate",$F60="4th"),'Point Schedule'!$C$45,0))))</f>
        <v>0</v>
      </c>
      <c r="J60" s="96">
        <f>IF(AND($E60="Advanced",$F60="1st"),'Point Schedule'!$E$42,IF(AND($E60="Advanced",$F60="2nd"),'Point Schedule'!$E$43,IF(AND($E60="Advanced",$F60="3rd"),'Point Schedule'!$E$44,IF(AND($E60="Advanced",$F60="4th"),'Point Schedule'!$E$45,0))))</f>
        <v>0</v>
      </c>
      <c r="K60" s="96">
        <f>IF(AND($E60="Excellent",$F60="1st"),'Point Schedule'!$G$42,IF(AND($E60="Excellent",$F60="2nd"),'Point Schedule'!$G$43,IF(AND($E60="Excellent",$F60="3rd"),'Point Schedule'!$G$44,IF(AND($E60="Excellent",$F60="4th"),'Point Schedule'!$G$45,0))))</f>
        <v>0</v>
      </c>
      <c r="L60" s="96">
        <f>IF(AND($E60="Master",$F60="1st"),'Point Schedule'!$I$42,IF(AND($E60="Master",$F60="2nd"),'Point Schedule'!$I$43,IF(AND($E60="Master",$F60="3rd"),'Point Schedule'!$I$44,IF(AND($E60="Master",$F60="4th"),'Point Schedule'!$I$45,0))))</f>
        <v>0</v>
      </c>
      <c r="M60" s="162">
        <f>IF(AND($B60=$B109,AND($G60=$G109),NOT($G60=0),NOT($B60=0),NOT($E60=$E109)),'Point Schedule'!$C$50,0)</f>
        <v>0</v>
      </c>
      <c r="N60" s="73">
        <f>IF(AND($E60="Master",$G60="Yes"),'Point Schedule'!$I$47,0)</f>
        <v>0</v>
      </c>
      <c r="O60" s="73">
        <f>IF(AND($E60="Novice",$G60="Yes"),'Point Schedule'!$C$47,IF(AND($E60="Advanced",$G60="Yes"),'Point Schedule'!$E$47,IF(AND($E60="Excellent",$G60="Yes"),'Point Schedule'!$G$47,0)))</f>
        <v>0</v>
      </c>
      <c r="P60" s="761"/>
      <c r="Q60" s="3"/>
      <c r="R60" s="3"/>
      <c r="S60" s="3"/>
      <c r="T60" s="3"/>
      <c r="U60" s="3"/>
      <c r="V60" s="3"/>
      <c r="W60" s="3"/>
      <c r="X60" s="3"/>
      <c r="Y60" s="3"/>
    </row>
    <row r="61" spans="1:25" ht="20.149999999999999" customHeight="1" x14ac:dyDescent="0.6">
      <c r="A61" s="387"/>
      <c r="B61" s="204"/>
      <c r="C61" s="545"/>
      <c r="D61" s="547"/>
      <c r="E61" s="205"/>
      <c r="F61" s="205"/>
      <c r="G61" s="205"/>
      <c r="H61" s="96">
        <f>IF(AND($E61="Novice",$F61="1st"),'Point Schedule'!$C$42,IF(AND($E61="Novice",$F61="2nd"),'Point Schedule'!$C$43,IF(AND($E61="Novice",$F61="3rd"),'Point Schedule'!$C$44,IF(AND($E61="Novice",$F61="4th"),'Point Schedule'!$C$45,0))))</f>
        <v>0</v>
      </c>
      <c r="I61" s="96">
        <f>IF(AND($E61="Intermediate",$F61="1st"),'Point Schedule'!$C$42,IF(AND($E61="Intermediate",$F61="2nd"),'Point Schedule'!$C$43,IF(AND($E61="Intermediate",$F61="3rd"),'Point Schedule'!$C$44,IF(AND($E61="Intermediate",$F61="4th"),'Point Schedule'!$C$45,0))))</f>
        <v>0</v>
      </c>
      <c r="J61" s="96">
        <f>IF(AND($E61="Advanced",$F61="1st"),'Point Schedule'!$E$42,IF(AND($E61="Advanced",$F61="2nd"),'Point Schedule'!$E$43,IF(AND($E61="Advanced",$F61="3rd"),'Point Schedule'!$E$44,IF(AND($E61="Advanced",$F61="4th"),'Point Schedule'!$E$45,0))))</f>
        <v>0</v>
      </c>
      <c r="K61" s="96">
        <f>IF(AND($E61="Excellent",$F61="1st"),'Point Schedule'!$G$42,IF(AND($E61="Excellent",$F61="2nd"),'Point Schedule'!$G$43,IF(AND($E61="Excellent",$F61="3rd"),'Point Schedule'!$G$44,IF(AND($E61="Excellent",$F61="4th"),'Point Schedule'!$G$45,0))))</f>
        <v>0</v>
      </c>
      <c r="L61" s="96">
        <f>IF(AND($E61="Master",$F61="1st"),'Point Schedule'!$I$42,IF(AND($E61="Master",$F61="2nd"),'Point Schedule'!$I$43,IF(AND($E61="Master",$F61="3rd"),'Point Schedule'!$I$44,IF(AND($E61="Master",$F61="4th"),'Point Schedule'!$I$45,0))))</f>
        <v>0</v>
      </c>
      <c r="M61" s="162">
        <f>IF(AND($B61=$B110,AND($G61=$G110),NOT($G61=0),NOT($B61=0),NOT($E61=$E110)),'Point Schedule'!$C$50,0)</f>
        <v>0</v>
      </c>
      <c r="N61" s="73">
        <f>IF(AND($E61="Master",$G61="Yes"),'Point Schedule'!$I$47,0)</f>
        <v>0</v>
      </c>
      <c r="O61" s="73">
        <f>IF(AND($E61="Novice",$G61="Yes"),'Point Schedule'!$C$47,IF(AND($E61="Advanced",$G61="Yes"),'Point Schedule'!$E$47,IF(AND($E61="Excellent",$G61="Yes"),'Point Schedule'!$G$47,0)))</f>
        <v>0</v>
      </c>
      <c r="P61" s="761"/>
      <c r="Q61" s="3"/>
      <c r="R61" s="3"/>
      <c r="S61" s="3"/>
      <c r="T61" s="3"/>
      <c r="U61" s="3"/>
      <c r="V61" s="3"/>
      <c r="W61" s="3"/>
      <c r="X61" s="3"/>
      <c r="Y61" s="3"/>
    </row>
    <row r="62" spans="1:25" ht="20.149999999999999" customHeight="1" x14ac:dyDescent="0.6">
      <c r="A62" s="387"/>
      <c r="B62" s="204"/>
      <c r="C62" s="545"/>
      <c r="D62" s="547"/>
      <c r="E62" s="205"/>
      <c r="F62" s="205"/>
      <c r="G62" s="205"/>
      <c r="H62" s="96">
        <f>IF(AND($E62="Novice",$F62="1st"),'Point Schedule'!$C$42,IF(AND($E62="Novice",$F62="2nd"),'Point Schedule'!$C$43,IF(AND($E62="Novice",$F62="3rd"),'Point Schedule'!$C$44,IF(AND($E62="Novice",$F62="4th"),'Point Schedule'!$C$45,0))))</f>
        <v>0</v>
      </c>
      <c r="I62" s="96">
        <f>IF(AND($E62="Intermediate",$F62="1st"),'Point Schedule'!$C$42,IF(AND($E62="Intermediate",$F62="2nd"),'Point Schedule'!$C$43,IF(AND($E62="Intermediate",$F62="3rd"),'Point Schedule'!$C$44,IF(AND($E62="Intermediate",$F62="4th"),'Point Schedule'!$C$45,0))))</f>
        <v>0</v>
      </c>
      <c r="J62" s="96">
        <f>IF(AND($E62="Advanced",$F62="1st"),'Point Schedule'!$E$42,IF(AND($E62="Advanced",$F62="2nd"),'Point Schedule'!$E$43,IF(AND($E62="Advanced",$F62="3rd"),'Point Schedule'!$E$44,IF(AND($E62="Advanced",$F62="4th"),'Point Schedule'!$E$45,0))))</f>
        <v>0</v>
      </c>
      <c r="K62" s="96">
        <f>IF(AND($E62="Excellent",$F62="1st"),'Point Schedule'!$G$42,IF(AND($E62="Excellent",$F62="2nd"),'Point Schedule'!$G$43,IF(AND($E62="Excellent",$F62="3rd"),'Point Schedule'!$G$44,IF(AND($E62="Excellent",$F62="4th"),'Point Schedule'!$G$45,0))))</f>
        <v>0</v>
      </c>
      <c r="L62" s="96">
        <f>IF(AND($E62="Master",$F62="1st"),'Point Schedule'!$I$42,IF(AND($E62="Master",$F62="2nd"),'Point Schedule'!$I$43,IF(AND($E62="Master",$F62="3rd"),'Point Schedule'!$I$44,IF(AND($E62="Master",$F62="4th"),'Point Schedule'!$I$45,0))))</f>
        <v>0</v>
      </c>
      <c r="M62" s="162">
        <f>IF(AND($B62=$B111,AND($G62=$G111),NOT($G62=0),NOT($B62=0),NOT($E62=$E111)),'Point Schedule'!$C$50,0)</f>
        <v>0</v>
      </c>
      <c r="N62" s="73">
        <f>IF(AND($E62="Master",$G62="Yes"),'Point Schedule'!$I$47,0)</f>
        <v>0</v>
      </c>
      <c r="O62" s="73">
        <f>IF(AND($E62="Novice",$G62="Yes"),'Point Schedule'!$C$47,IF(AND($E62="Advanced",$G62="Yes"),'Point Schedule'!$E$47,IF(AND($E62="Excellent",$G62="Yes"),'Point Schedule'!$G$47,0)))</f>
        <v>0</v>
      </c>
      <c r="P62" s="761"/>
      <c r="Q62" s="3"/>
      <c r="R62" s="3"/>
      <c r="S62" s="3"/>
      <c r="T62" s="3"/>
      <c r="U62" s="3"/>
      <c r="V62" s="3"/>
      <c r="W62" s="3"/>
      <c r="X62" s="3"/>
      <c r="Y62" s="3"/>
    </row>
    <row r="63" spans="1:25" ht="20.149999999999999" customHeight="1" x14ac:dyDescent="0.6">
      <c r="A63" s="387"/>
      <c r="B63" s="204"/>
      <c r="C63" s="545"/>
      <c r="D63" s="547"/>
      <c r="E63" s="205"/>
      <c r="F63" s="205"/>
      <c r="G63" s="205"/>
      <c r="H63" s="96">
        <f>IF(AND($E63="Novice",$F63="1st"),'Point Schedule'!$C$42,IF(AND($E63="Novice",$F63="2nd"),'Point Schedule'!$C$43,IF(AND($E63="Novice",$F63="3rd"),'Point Schedule'!$C$44,IF(AND($E63="Novice",$F63="4th"),'Point Schedule'!$C$45,0))))</f>
        <v>0</v>
      </c>
      <c r="I63" s="96">
        <f>IF(AND($E63="Intermediate",$F63="1st"),'Point Schedule'!$C$42,IF(AND($E63="Intermediate",$F63="2nd"),'Point Schedule'!$C$43,IF(AND($E63="Intermediate",$F63="3rd"),'Point Schedule'!$C$44,IF(AND($E63="Intermediate",$F63="4th"),'Point Schedule'!$C$45,0))))</f>
        <v>0</v>
      </c>
      <c r="J63" s="96">
        <f>IF(AND($E63="Advanced",$F63="1st"),'Point Schedule'!$E$42,IF(AND($E63="Advanced",$F63="2nd"),'Point Schedule'!$E$43,IF(AND($E63="Advanced",$F63="3rd"),'Point Schedule'!$E$44,IF(AND($E63="Advanced",$F63="4th"),'Point Schedule'!$E$45,0))))</f>
        <v>0</v>
      </c>
      <c r="K63" s="96">
        <f>IF(AND($E63="Excellent",$F63="1st"),'Point Schedule'!$G$42,IF(AND($E63="Excellent",$F63="2nd"),'Point Schedule'!$G$43,IF(AND($E63="Excellent",$F63="3rd"),'Point Schedule'!$G$44,IF(AND($E63="Excellent",$F63="4th"),'Point Schedule'!$G$45,0))))</f>
        <v>0</v>
      </c>
      <c r="L63" s="96">
        <f>IF(AND($E63="Master",$F63="1st"),'Point Schedule'!$I$42,IF(AND($E63="Master",$F63="2nd"),'Point Schedule'!$I$43,IF(AND($E63="Master",$F63="3rd"),'Point Schedule'!$I$44,IF(AND($E63="Master",$F63="4th"),'Point Schedule'!$I$45,0))))</f>
        <v>0</v>
      </c>
      <c r="M63" s="162">
        <f>IF(AND($B63=$B112,AND($G63=$G112),NOT($G63=0),NOT($B63=0),NOT($E63=$E112)),'Point Schedule'!$C$50,0)</f>
        <v>0</v>
      </c>
      <c r="N63" s="73">
        <f>IF(AND($E63="Master",$G63="Yes"),'Point Schedule'!$I$47,0)</f>
        <v>0</v>
      </c>
      <c r="O63" s="73">
        <f>IF(AND($E63="Novice",$G63="Yes"),'Point Schedule'!$C$47,IF(AND($E63="Advanced",$G63="Yes"),'Point Schedule'!$E$47,IF(AND($E63="Excellent",$G63="Yes"),'Point Schedule'!$G$47,0)))</f>
        <v>0</v>
      </c>
      <c r="P63" s="761"/>
      <c r="Q63" s="3"/>
      <c r="R63" s="3"/>
      <c r="S63" s="3"/>
      <c r="T63" s="3"/>
      <c r="U63" s="3"/>
      <c r="V63" s="3"/>
      <c r="W63" s="3"/>
      <c r="X63" s="3"/>
      <c r="Y63" s="3"/>
    </row>
    <row r="64" spans="1:25" ht="20.149999999999999" customHeight="1" x14ac:dyDescent="0.6">
      <c r="A64" s="387"/>
      <c r="B64" s="204"/>
      <c r="C64" s="545"/>
      <c r="D64" s="547"/>
      <c r="E64" s="205"/>
      <c r="F64" s="205"/>
      <c r="G64" s="205"/>
      <c r="H64" s="96">
        <f>IF(AND($E64="Novice",$F64="1st"),'Point Schedule'!$C$42,IF(AND($E64="Novice",$F64="2nd"),'Point Schedule'!$C$43,IF(AND($E64="Novice",$F64="3rd"),'Point Schedule'!$C$44,IF(AND($E64="Novice",$F64="4th"),'Point Schedule'!$C$45,0))))</f>
        <v>0</v>
      </c>
      <c r="I64" s="96">
        <f>IF(AND($E64="Intermediate",$F64="1st"),'Point Schedule'!$C$42,IF(AND($E64="Intermediate",$F64="2nd"),'Point Schedule'!$C$43,IF(AND($E64="Intermediate",$F64="3rd"),'Point Schedule'!$C$44,IF(AND($E64="Intermediate",$F64="4th"),'Point Schedule'!$C$45,0))))</f>
        <v>0</v>
      </c>
      <c r="J64" s="96">
        <f>IF(AND($E64="Advanced",$F64="1st"),'Point Schedule'!$E$42,IF(AND($E64="Advanced",$F64="2nd"),'Point Schedule'!$E$43,IF(AND($E64="Advanced",$F64="3rd"),'Point Schedule'!$E$44,IF(AND($E64="Advanced",$F64="4th"),'Point Schedule'!$E$45,0))))</f>
        <v>0</v>
      </c>
      <c r="K64" s="96">
        <f>IF(AND($E64="Excellent",$F64="1st"),'Point Schedule'!$G$42,IF(AND($E64="Excellent",$F64="2nd"),'Point Schedule'!$G$43,IF(AND($E64="Excellent",$F64="3rd"),'Point Schedule'!$G$44,IF(AND($E64="Excellent",$F64="4th"),'Point Schedule'!$G$45,0))))</f>
        <v>0</v>
      </c>
      <c r="L64" s="96">
        <f>IF(AND($E64="Master",$F64="1st"),'Point Schedule'!$I$42,IF(AND($E64="Master",$F64="2nd"),'Point Schedule'!$I$43,IF(AND($E64="Master",$F64="3rd"),'Point Schedule'!$I$44,IF(AND($E64="Master",$F64="4th"),'Point Schedule'!$I$45,0))))</f>
        <v>0</v>
      </c>
      <c r="M64" s="162">
        <f>IF(AND($B64=$B113,AND($G64=$G113),NOT($G64=0),NOT($B64=0),NOT($E64=$E113)),'Point Schedule'!$C$50,0)</f>
        <v>0</v>
      </c>
      <c r="N64" s="73">
        <f>IF(AND($E64="Master",$G64="Yes"),'Point Schedule'!$I$47,0)</f>
        <v>0</v>
      </c>
      <c r="O64" s="73">
        <f>IF(AND($E64="Novice",$G64="Yes"),'Point Schedule'!$C$47,IF(AND($E64="Advanced",$G64="Yes"),'Point Schedule'!$E$47,IF(AND($E64="Excellent",$G64="Yes"),'Point Schedule'!$G$47,0)))</f>
        <v>0</v>
      </c>
      <c r="P64" s="761"/>
      <c r="Q64" s="3"/>
      <c r="R64" s="3"/>
      <c r="S64" s="3"/>
      <c r="T64" s="3"/>
      <c r="U64" s="3"/>
      <c r="V64" s="3"/>
      <c r="W64" s="3"/>
      <c r="X64" s="3"/>
      <c r="Y64" s="3"/>
    </row>
    <row r="65" spans="1:25" ht="20.149999999999999" customHeight="1" x14ac:dyDescent="0.6">
      <c r="A65" s="387"/>
      <c r="B65" s="204"/>
      <c r="C65" s="545"/>
      <c r="D65" s="547"/>
      <c r="E65" s="205"/>
      <c r="F65" s="205"/>
      <c r="G65" s="205"/>
      <c r="H65" s="96">
        <f>IF(AND($E65="Novice",$F65="1st"),'Point Schedule'!$C$42,IF(AND($E65="Novice",$F65="2nd"),'Point Schedule'!$C$43,IF(AND($E65="Novice",$F65="3rd"),'Point Schedule'!$C$44,IF(AND($E65="Novice",$F65="4th"),'Point Schedule'!$C$45,0))))</f>
        <v>0</v>
      </c>
      <c r="I65" s="96">
        <f>IF(AND($E65="Intermediate",$F65="1st"),'Point Schedule'!$C$42,IF(AND($E65="Intermediate",$F65="2nd"),'Point Schedule'!$C$43,IF(AND($E65="Intermediate",$F65="3rd"),'Point Schedule'!$C$44,IF(AND($E65="Intermediate",$F65="4th"),'Point Schedule'!$C$45,0))))</f>
        <v>0</v>
      </c>
      <c r="J65" s="96">
        <f>IF(AND($E65="Advanced",$F65="1st"),'Point Schedule'!$E$42,IF(AND($E65="Advanced",$F65="2nd"),'Point Schedule'!$E$43,IF(AND($E65="Advanced",$F65="3rd"),'Point Schedule'!$E$44,IF(AND($E65="Advanced",$F65="4th"),'Point Schedule'!$E$45,0))))</f>
        <v>0</v>
      </c>
      <c r="K65" s="96">
        <f>IF(AND($E65="Excellent",$F65="1st"),'Point Schedule'!$G$42,IF(AND($E65="Excellent",$F65="2nd"),'Point Schedule'!$G$43,IF(AND($E65="Excellent",$F65="3rd"),'Point Schedule'!$G$44,IF(AND($E65="Excellent",$F65="4th"),'Point Schedule'!$G$45,0))))</f>
        <v>0</v>
      </c>
      <c r="L65" s="96">
        <f>IF(AND($E65="Master",$F65="1st"),'Point Schedule'!$I$42,IF(AND($E65="Master",$F65="2nd"),'Point Schedule'!$I$43,IF(AND($E65="Master",$F65="3rd"),'Point Schedule'!$I$44,IF(AND($E65="Master",$F65="4th"),'Point Schedule'!$I$45,0))))</f>
        <v>0</v>
      </c>
      <c r="M65" s="162">
        <f>IF(AND($B65=$B114,AND($G65=$G114),NOT($G65=0),NOT($B65=0),NOT($E65=$E114)),'Point Schedule'!$C$50,0)</f>
        <v>0</v>
      </c>
      <c r="N65" s="73">
        <f>IF(AND($E65="Master",$G65="Yes"),'Point Schedule'!$I$47,0)</f>
        <v>0</v>
      </c>
      <c r="O65" s="73">
        <f>IF(AND($E65="Novice",$G65="Yes"),'Point Schedule'!$C$47,IF(AND($E65="Advanced",$G65="Yes"),'Point Schedule'!$E$47,IF(AND($E65="Excellent",$G65="Yes"),'Point Schedule'!$G$47,0)))</f>
        <v>0</v>
      </c>
      <c r="P65" s="761"/>
      <c r="Q65" s="3"/>
      <c r="R65" s="3"/>
      <c r="S65" s="3"/>
      <c r="T65" s="3"/>
      <c r="U65" s="3"/>
      <c r="V65" s="3"/>
      <c r="W65" s="3"/>
      <c r="X65" s="3"/>
      <c r="Y65" s="3"/>
    </row>
    <row r="66" spans="1:25" ht="20.149999999999999" customHeight="1" x14ac:dyDescent="0.6">
      <c r="A66" s="387"/>
      <c r="B66" s="204"/>
      <c r="C66" s="545"/>
      <c r="D66" s="547"/>
      <c r="E66" s="205"/>
      <c r="F66" s="205"/>
      <c r="G66" s="205"/>
      <c r="H66" s="96">
        <f>IF(AND($E66="Novice",$F66="1st"),'Point Schedule'!$C$42,IF(AND($E66="Novice",$F66="2nd"),'Point Schedule'!$C$43,IF(AND($E66="Novice",$F66="3rd"),'Point Schedule'!$C$44,IF(AND($E66="Novice",$F66="4th"),'Point Schedule'!$C$45,0))))</f>
        <v>0</v>
      </c>
      <c r="I66" s="96">
        <f>IF(AND($E66="Intermediate",$F66="1st"),'Point Schedule'!$C$42,IF(AND($E66="Intermediate",$F66="2nd"),'Point Schedule'!$C$43,IF(AND($E66="Intermediate",$F66="3rd"),'Point Schedule'!$C$44,IF(AND($E66="Intermediate",$F66="4th"),'Point Schedule'!$C$45,0))))</f>
        <v>0</v>
      </c>
      <c r="J66" s="96">
        <f>IF(AND($E66="Advanced",$F66="1st"),'Point Schedule'!$E$42,IF(AND($E66="Advanced",$F66="2nd"),'Point Schedule'!$E$43,IF(AND($E66="Advanced",$F66="3rd"),'Point Schedule'!$E$44,IF(AND($E66="Advanced",$F66="4th"),'Point Schedule'!$E$45,0))))</f>
        <v>0</v>
      </c>
      <c r="K66" s="96">
        <f>IF(AND($E66="Excellent",$F66="1st"),'Point Schedule'!$G$42,IF(AND($E66="Excellent",$F66="2nd"),'Point Schedule'!$G$43,IF(AND($E66="Excellent",$F66="3rd"),'Point Schedule'!$G$44,IF(AND($E66="Excellent",$F66="4th"),'Point Schedule'!$G$45,0))))</f>
        <v>0</v>
      </c>
      <c r="L66" s="96">
        <f>IF(AND($E66="Master",$F66="1st"),'Point Schedule'!$I$42,IF(AND($E66="Master",$F66="2nd"),'Point Schedule'!$I$43,IF(AND($E66="Master",$F66="3rd"),'Point Schedule'!$I$44,IF(AND($E66="Master",$F66="4th"),'Point Schedule'!$I$45,0))))</f>
        <v>0</v>
      </c>
      <c r="M66" s="162">
        <f>IF(AND($B66=$B115,AND($G66=$G115),NOT($G66=0),NOT($B66=0),NOT($E66=$E115)),'Point Schedule'!$C$50,0)</f>
        <v>0</v>
      </c>
      <c r="N66" s="73">
        <f>IF(AND($E66="Master",$G66="Yes"),'Point Schedule'!$I$47,0)</f>
        <v>0</v>
      </c>
      <c r="O66" s="73">
        <f>IF(AND($E66="Novice",$G66="Yes"),'Point Schedule'!$C$47,IF(AND($E66="Advanced",$G66="Yes"),'Point Schedule'!$E$47,IF(AND($E66="Excellent",$G66="Yes"),'Point Schedule'!$G$47,0)))</f>
        <v>0</v>
      </c>
      <c r="P66" s="761"/>
      <c r="Q66" s="3"/>
      <c r="R66" s="3"/>
      <c r="S66" s="3"/>
      <c r="T66" s="3"/>
      <c r="U66" s="3"/>
      <c r="V66" s="3"/>
      <c r="W66" s="3"/>
      <c r="X66" s="3"/>
      <c r="Y66" s="3"/>
    </row>
    <row r="67" spans="1:25" ht="20.149999999999999" customHeight="1" x14ac:dyDescent="0.6">
      <c r="A67" s="387"/>
      <c r="B67" s="204"/>
      <c r="C67" s="545"/>
      <c r="D67" s="547"/>
      <c r="E67" s="205"/>
      <c r="F67" s="205"/>
      <c r="G67" s="205"/>
      <c r="H67" s="96">
        <f>IF(AND($E67="Novice",$F67="1st"),'Point Schedule'!$C$42,IF(AND($E67="Novice",$F67="2nd"),'Point Schedule'!$C$43,IF(AND($E67="Novice",$F67="3rd"),'Point Schedule'!$C$44,IF(AND($E67="Novice",$F67="4th"),'Point Schedule'!$C$45,0))))</f>
        <v>0</v>
      </c>
      <c r="I67" s="96">
        <f>IF(AND($E67="Intermediate",$F67="1st"),'Point Schedule'!$C$42,IF(AND($E67="Intermediate",$F67="2nd"),'Point Schedule'!$C$43,IF(AND($E67="Intermediate",$F67="3rd"),'Point Schedule'!$C$44,IF(AND($E67="Intermediate",$F67="4th"),'Point Schedule'!$C$45,0))))</f>
        <v>0</v>
      </c>
      <c r="J67" s="96">
        <f>IF(AND($E67="Advanced",$F67="1st"),'Point Schedule'!$E$42,IF(AND($E67="Advanced",$F67="2nd"),'Point Schedule'!$E$43,IF(AND($E67="Advanced",$F67="3rd"),'Point Schedule'!$E$44,IF(AND($E67="Advanced",$F67="4th"),'Point Schedule'!$E$45,0))))</f>
        <v>0</v>
      </c>
      <c r="K67" s="96">
        <f>IF(AND($E67="Excellent",$F67="1st"),'Point Schedule'!$G$42,IF(AND($E67="Excellent",$F67="2nd"),'Point Schedule'!$G$43,IF(AND($E67="Excellent",$F67="3rd"),'Point Schedule'!$G$44,IF(AND($E67="Excellent",$F67="4th"),'Point Schedule'!$G$45,0))))</f>
        <v>0</v>
      </c>
      <c r="L67" s="96">
        <f>IF(AND($E67="Master",$F67="1st"),'Point Schedule'!$I$42,IF(AND($E67="Master",$F67="2nd"),'Point Schedule'!$I$43,IF(AND($E67="Master",$F67="3rd"),'Point Schedule'!$I$44,IF(AND($E67="Master",$F67="4th"),'Point Schedule'!$I$45,0))))</f>
        <v>0</v>
      </c>
      <c r="M67" s="162">
        <f>IF(AND($B67=$B116,AND($G67=$G116),NOT($G67=0),NOT($B67=0),NOT($E67=$E116)),'Point Schedule'!$C$50,0)</f>
        <v>0</v>
      </c>
      <c r="N67" s="73">
        <f>IF(AND($E67="Master",$G67="Yes"),'Point Schedule'!$I$47,0)</f>
        <v>0</v>
      </c>
      <c r="O67" s="73">
        <f>IF(AND($E67="Novice",$G67="Yes"),'Point Schedule'!$C$47,IF(AND($E67="Advanced",$G67="Yes"),'Point Schedule'!$E$47,IF(AND($E67="Excellent",$G67="Yes"),'Point Schedule'!$G$47,0)))</f>
        <v>0</v>
      </c>
      <c r="P67" s="761"/>
      <c r="Q67" s="3"/>
      <c r="R67" s="3"/>
      <c r="S67" s="3"/>
      <c r="T67" s="3"/>
      <c r="U67" s="3"/>
      <c r="V67" s="3"/>
      <c r="W67" s="3"/>
      <c r="X67" s="3"/>
      <c r="Y67" s="3"/>
    </row>
    <row r="68" spans="1:25" ht="20.149999999999999" customHeight="1" x14ac:dyDescent="0.6">
      <c r="A68" s="387"/>
      <c r="B68" s="204"/>
      <c r="C68" s="545"/>
      <c r="D68" s="547"/>
      <c r="E68" s="205"/>
      <c r="F68" s="205"/>
      <c r="G68" s="205"/>
      <c r="H68" s="96">
        <f>IF(AND($E68="Novice",$F68="1st"),'Point Schedule'!$C$42,IF(AND($E68="Novice",$F68="2nd"),'Point Schedule'!$C$43,IF(AND($E68="Novice",$F68="3rd"),'Point Schedule'!$C$44,IF(AND($E68="Novice",$F68="4th"),'Point Schedule'!$C$45,0))))</f>
        <v>0</v>
      </c>
      <c r="I68" s="96">
        <f>IF(AND($E68="Intermediate",$F68="1st"),'Point Schedule'!$C$42,IF(AND($E68="Intermediate",$F68="2nd"),'Point Schedule'!$C$43,IF(AND($E68="Intermediate",$F68="3rd"),'Point Schedule'!$C$44,IF(AND($E68="Intermediate",$F68="4th"),'Point Schedule'!$C$45,0))))</f>
        <v>0</v>
      </c>
      <c r="J68" s="96">
        <f>IF(AND($E68="Advanced",$F68="1st"),'Point Schedule'!$E$42,IF(AND($E68="Advanced",$F68="2nd"),'Point Schedule'!$E$43,IF(AND($E68="Advanced",$F68="3rd"),'Point Schedule'!$E$44,IF(AND($E68="Advanced",$F68="4th"),'Point Schedule'!$E$45,0))))</f>
        <v>0</v>
      </c>
      <c r="K68" s="96">
        <f>IF(AND($E68="Excellent",$F68="1st"),'Point Schedule'!$G$42,IF(AND($E68="Excellent",$F68="2nd"),'Point Schedule'!$G$43,IF(AND($E68="Excellent",$F68="3rd"),'Point Schedule'!$G$44,IF(AND($E68="Excellent",$F68="4th"),'Point Schedule'!$G$45,0))))</f>
        <v>0</v>
      </c>
      <c r="L68" s="96">
        <f>IF(AND($E68="Master",$F68="1st"),'Point Schedule'!$I$42,IF(AND($E68="Master",$F68="2nd"),'Point Schedule'!$I$43,IF(AND($E68="Master",$F68="3rd"),'Point Schedule'!$I$44,IF(AND($E68="Master",$F68="4th"),'Point Schedule'!$I$45,0))))</f>
        <v>0</v>
      </c>
      <c r="M68" s="162">
        <f>IF(AND($B68=$B117,AND($G68=$G117),NOT($G68=0),NOT($B68=0),NOT($E68=$E117)),'Point Schedule'!$C$50,0)</f>
        <v>0</v>
      </c>
      <c r="N68" s="73">
        <f>IF(AND($E68="Master",$G68="Yes"),'Point Schedule'!$I$47,0)</f>
        <v>0</v>
      </c>
      <c r="O68" s="73">
        <f>IF(AND($E68="Novice",$G68="Yes"),'Point Schedule'!$C$47,IF(AND($E68="Advanced",$G68="Yes"),'Point Schedule'!$E$47,IF(AND($E68="Excellent",$G68="Yes"),'Point Schedule'!$G$47,0)))</f>
        <v>0</v>
      </c>
      <c r="P68" s="761"/>
      <c r="Q68" s="3"/>
      <c r="R68" s="3"/>
      <c r="S68" s="3"/>
      <c r="T68" s="3"/>
      <c r="U68" s="3"/>
      <c r="V68" s="3"/>
      <c r="W68" s="3"/>
      <c r="X68" s="3"/>
      <c r="Y68" s="3"/>
    </row>
    <row r="69" spans="1:25" ht="20.149999999999999" customHeight="1" x14ac:dyDescent="0.6">
      <c r="A69" s="387"/>
      <c r="B69" s="204"/>
      <c r="C69" s="545"/>
      <c r="D69" s="547"/>
      <c r="E69" s="205"/>
      <c r="F69" s="205"/>
      <c r="G69" s="205"/>
      <c r="H69" s="96">
        <f>IF(AND($E69="Novice",$F69="1st"),'Point Schedule'!$C$42,IF(AND($E69="Novice",$F69="2nd"),'Point Schedule'!$C$43,IF(AND($E69="Novice",$F69="3rd"),'Point Schedule'!$C$44,IF(AND($E69="Novice",$F69="4th"),'Point Schedule'!$C$45,0))))</f>
        <v>0</v>
      </c>
      <c r="I69" s="96">
        <f>IF(AND($E69="Intermediate",$F69="1st"),'Point Schedule'!$C$42,IF(AND($E69="Intermediate",$F69="2nd"),'Point Schedule'!$C$43,IF(AND($E69="Intermediate",$F69="3rd"),'Point Schedule'!$C$44,IF(AND($E69="Intermediate",$F69="4th"),'Point Schedule'!$C$45,0))))</f>
        <v>0</v>
      </c>
      <c r="J69" s="96">
        <f>IF(AND($E69="Advanced",$F69="1st"),'Point Schedule'!$E$42,IF(AND($E69="Advanced",$F69="2nd"),'Point Schedule'!$E$43,IF(AND($E69="Advanced",$F69="3rd"),'Point Schedule'!$E$44,IF(AND($E69="Advanced",$F69="4th"),'Point Schedule'!$E$45,0))))</f>
        <v>0</v>
      </c>
      <c r="K69" s="96">
        <f>IF(AND($E69="Excellent",$F69="1st"),'Point Schedule'!$G$42,IF(AND($E69="Excellent",$F69="2nd"),'Point Schedule'!$G$43,IF(AND($E69="Excellent",$F69="3rd"),'Point Schedule'!$G$44,IF(AND($E69="Excellent",$F69="4th"),'Point Schedule'!$G$45,0))))</f>
        <v>0</v>
      </c>
      <c r="L69" s="96">
        <f>IF(AND($E69="Master",$F69="1st"),'Point Schedule'!$I$42,IF(AND($E69="Master",$F69="2nd"),'Point Schedule'!$I$43,IF(AND($E69="Master",$F69="3rd"),'Point Schedule'!$I$44,IF(AND($E69="Master",$F69="4th"),'Point Schedule'!$I$45,0))))</f>
        <v>0</v>
      </c>
      <c r="M69" s="162">
        <f>IF(AND($B69=$B118,AND($G69=$G118),NOT($G69=0),NOT($B69=0),NOT($E69=$E118)),'Point Schedule'!$C$50,0)</f>
        <v>0</v>
      </c>
      <c r="N69" s="73">
        <f>IF(AND($E69="Master",$G69="Yes"),'Point Schedule'!$I$47,0)</f>
        <v>0</v>
      </c>
      <c r="O69" s="73">
        <f>IF(AND($E69="Novice",$G69="Yes"),'Point Schedule'!$C$47,IF(AND($E69="Advanced",$G69="Yes"),'Point Schedule'!$E$47,IF(AND($E69="Excellent",$G69="Yes"),'Point Schedule'!$G$47,0)))</f>
        <v>0</v>
      </c>
      <c r="P69" s="761"/>
      <c r="Q69" s="3"/>
      <c r="R69" s="3"/>
      <c r="S69" s="3"/>
      <c r="T69" s="3"/>
      <c r="U69" s="3"/>
      <c r="V69" s="3"/>
      <c r="W69" s="3"/>
      <c r="X69" s="3"/>
      <c r="Y69" s="3"/>
    </row>
    <row r="70" spans="1:25" ht="20.149999999999999" customHeight="1" x14ac:dyDescent="0.6">
      <c r="A70" s="387"/>
      <c r="B70" s="204"/>
      <c r="C70" s="545"/>
      <c r="D70" s="547"/>
      <c r="E70" s="205"/>
      <c r="F70" s="205"/>
      <c r="G70" s="205"/>
      <c r="H70" s="96">
        <f>IF(AND($E70="Novice",$F70="1st"),'Point Schedule'!$C$42,IF(AND($E70="Novice",$F70="2nd"),'Point Schedule'!$C$43,IF(AND($E70="Novice",$F70="3rd"),'Point Schedule'!$C$44,IF(AND($E70="Novice",$F70="4th"),'Point Schedule'!$C$45,0))))</f>
        <v>0</v>
      </c>
      <c r="I70" s="96">
        <f>IF(AND($E70="Intermediate",$F70="1st"),'Point Schedule'!$C$42,IF(AND($E70="Intermediate",$F70="2nd"),'Point Schedule'!$C$43,IF(AND($E70="Intermediate",$F70="3rd"),'Point Schedule'!$C$44,IF(AND($E70="Intermediate",$F70="4th"),'Point Schedule'!$C$45,0))))</f>
        <v>0</v>
      </c>
      <c r="J70" s="96">
        <f>IF(AND($E70="Advanced",$F70="1st"),'Point Schedule'!$E$42,IF(AND($E70="Advanced",$F70="2nd"),'Point Schedule'!$E$43,IF(AND($E70="Advanced",$F70="3rd"),'Point Schedule'!$E$44,IF(AND($E70="Advanced",$F70="4th"),'Point Schedule'!$E$45,0))))</f>
        <v>0</v>
      </c>
      <c r="K70" s="96">
        <f>IF(AND($E70="Excellent",$F70="1st"),'Point Schedule'!$G$42,IF(AND($E70="Excellent",$F70="2nd"),'Point Schedule'!$G$43,IF(AND($E70="Excellent",$F70="3rd"),'Point Schedule'!$G$44,IF(AND($E70="Excellent",$F70="4th"),'Point Schedule'!$G$45,0))))</f>
        <v>0</v>
      </c>
      <c r="L70" s="96">
        <f>IF(AND($E70="Master",$F70="1st"),'Point Schedule'!$I$42,IF(AND($E70="Master",$F70="2nd"),'Point Schedule'!$I$43,IF(AND($E70="Master",$F70="3rd"),'Point Schedule'!$I$44,IF(AND($E70="Master",$F70="4th"),'Point Schedule'!$I$45,0))))</f>
        <v>0</v>
      </c>
      <c r="M70" s="162">
        <f>IF(AND($B70=$B119,AND($G70=$G119),NOT($G70=0),NOT($B70=0),NOT($E70=$E119)),'Point Schedule'!$C$50,0)</f>
        <v>0</v>
      </c>
      <c r="N70" s="73">
        <f>IF(AND($E70="Master",$G70="Yes"),'Point Schedule'!$I$47,0)</f>
        <v>0</v>
      </c>
      <c r="O70" s="73">
        <f>IF(AND($E70="Novice",$G70="Yes"),'Point Schedule'!$C$47,IF(AND($E70="Advanced",$G70="Yes"),'Point Schedule'!$E$47,IF(AND($E70="Excellent",$G70="Yes"),'Point Schedule'!$G$47,0)))</f>
        <v>0</v>
      </c>
      <c r="P70" s="761"/>
      <c r="Q70" s="3"/>
      <c r="R70" s="3"/>
      <c r="S70" s="3"/>
      <c r="T70" s="3"/>
      <c r="U70" s="3"/>
      <c r="V70" s="3"/>
      <c r="W70" s="3"/>
      <c r="X70" s="3"/>
      <c r="Y70" s="3"/>
    </row>
    <row r="71" spans="1:25" ht="20.149999999999999" customHeight="1" x14ac:dyDescent="0.6">
      <c r="A71" s="387"/>
      <c r="B71" s="204"/>
      <c r="C71" s="545"/>
      <c r="D71" s="547"/>
      <c r="E71" s="205"/>
      <c r="F71" s="205"/>
      <c r="G71" s="205"/>
      <c r="H71" s="96">
        <f>IF(AND($E71="Novice",$F71="1st"),'Point Schedule'!$C$42,IF(AND($E71="Novice",$F71="2nd"),'Point Schedule'!$C$43,IF(AND($E71="Novice",$F71="3rd"),'Point Schedule'!$C$44,IF(AND($E71="Novice",$F71="4th"),'Point Schedule'!$C$45,0))))</f>
        <v>0</v>
      </c>
      <c r="I71" s="96">
        <f>IF(AND($E71="Intermediate",$F71="1st"),'Point Schedule'!$C$42,IF(AND($E71="Intermediate",$F71="2nd"),'Point Schedule'!$C$43,IF(AND($E71="Intermediate",$F71="3rd"),'Point Schedule'!$C$44,IF(AND($E71="Intermediate",$F71="4th"),'Point Schedule'!$C$45,0))))</f>
        <v>0</v>
      </c>
      <c r="J71" s="96">
        <f>IF(AND($E71="Advanced",$F71="1st"),'Point Schedule'!$E$42,IF(AND($E71="Advanced",$F71="2nd"),'Point Schedule'!$E$43,IF(AND($E71="Advanced",$F71="3rd"),'Point Schedule'!$E$44,IF(AND($E71="Advanced",$F71="4th"),'Point Schedule'!$E$45,0))))</f>
        <v>0</v>
      </c>
      <c r="K71" s="96">
        <f>IF(AND($E71="Excellent",$F71="1st"),'Point Schedule'!$G$42,IF(AND($E71="Excellent",$F71="2nd"),'Point Schedule'!$G$43,IF(AND($E71="Excellent",$F71="3rd"),'Point Schedule'!$G$44,IF(AND($E71="Excellent",$F71="4th"),'Point Schedule'!$G$45,0))))</f>
        <v>0</v>
      </c>
      <c r="L71" s="96">
        <f>IF(AND($E71="Master",$F71="1st"),'Point Schedule'!$I$42,IF(AND($E71="Master",$F71="2nd"),'Point Schedule'!$I$43,IF(AND($E71="Master",$F71="3rd"),'Point Schedule'!$I$44,IF(AND($E71="Master",$F71="4th"),'Point Schedule'!$I$45,0))))</f>
        <v>0</v>
      </c>
      <c r="M71" s="162">
        <f>IF(AND($B71=$B120,AND($G71=$G120),NOT($G71=0),NOT($B71=0),NOT($E71=$E120)),'Point Schedule'!$C$50,0)</f>
        <v>0</v>
      </c>
      <c r="N71" s="73">
        <f>IF(AND($E71="Master",$G71="Yes"),'Point Schedule'!$I$47,0)</f>
        <v>0</v>
      </c>
      <c r="O71" s="73">
        <f>IF(AND($E71="Novice",$G71="Yes"),'Point Schedule'!$C$47,IF(AND($E71="Advanced",$G71="Yes"),'Point Schedule'!$E$47,IF(AND($E71="Excellent",$G71="Yes"),'Point Schedule'!$G$47,0)))</f>
        <v>0</v>
      </c>
      <c r="P71" s="761"/>
      <c r="Q71" s="3"/>
      <c r="R71" s="3"/>
      <c r="S71" s="3"/>
      <c r="T71" s="3"/>
      <c r="U71" s="3"/>
      <c r="V71" s="3"/>
      <c r="W71" s="3"/>
      <c r="X71" s="3"/>
      <c r="Y71" s="3"/>
    </row>
    <row r="72" spans="1:25" ht="20.149999999999999" customHeight="1" x14ac:dyDescent="0.6">
      <c r="A72" s="387"/>
      <c r="B72" s="204"/>
      <c r="C72" s="545"/>
      <c r="D72" s="547"/>
      <c r="E72" s="205"/>
      <c r="F72" s="205"/>
      <c r="G72" s="205"/>
      <c r="H72" s="96">
        <f>IF(AND($E72="Novice",$F72="1st"),'Point Schedule'!$C$42,IF(AND($E72="Novice",$F72="2nd"),'Point Schedule'!$C$43,IF(AND($E72="Novice",$F72="3rd"),'Point Schedule'!$C$44,IF(AND($E72="Novice",$F72="4th"),'Point Schedule'!$C$45,0))))</f>
        <v>0</v>
      </c>
      <c r="I72" s="96">
        <f>IF(AND($E72="Intermediate",$F72="1st"),'Point Schedule'!$C$42,IF(AND($E72="Intermediate",$F72="2nd"),'Point Schedule'!$C$43,IF(AND($E72="Intermediate",$F72="3rd"),'Point Schedule'!$C$44,IF(AND($E72="Intermediate",$F72="4th"),'Point Schedule'!$C$45,0))))</f>
        <v>0</v>
      </c>
      <c r="J72" s="96">
        <f>IF(AND($E72="Advanced",$F72="1st"),'Point Schedule'!$E$42,IF(AND($E72="Advanced",$F72="2nd"),'Point Schedule'!$E$43,IF(AND($E72="Advanced",$F72="3rd"),'Point Schedule'!$E$44,IF(AND($E72="Advanced",$F72="4th"),'Point Schedule'!$E$45,0))))</f>
        <v>0</v>
      </c>
      <c r="K72" s="96">
        <f>IF(AND($E72="Excellent",$F72="1st"),'Point Schedule'!$G$42,IF(AND($E72="Excellent",$F72="2nd"),'Point Schedule'!$G$43,IF(AND($E72="Excellent",$F72="3rd"),'Point Schedule'!$G$44,IF(AND($E72="Excellent",$F72="4th"),'Point Schedule'!$G$45,0))))</f>
        <v>0</v>
      </c>
      <c r="L72" s="96">
        <f>IF(AND($E72="Master",$F72="1st"),'Point Schedule'!$I$42,IF(AND($E72="Master",$F72="2nd"),'Point Schedule'!$I$43,IF(AND($E72="Master",$F72="3rd"),'Point Schedule'!$I$44,IF(AND($E72="Master",$F72="4th"),'Point Schedule'!$I$45,0))))</f>
        <v>0</v>
      </c>
      <c r="M72" s="162">
        <f>IF(AND($B72=$B121,AND($G72=$G121),NOT($G72=0),NOT($B72=0),NOT($E72=$E121)),'Point Schedule'!$C$50,0)</f>
        <v>0</v>
      </c>
      <c r="N72" s="73">
        <f>IF(AND($E72="Master",$G72="Yes"),'Point Schedule'!$I$47,0)</f>
        <v>0</v>
      </c>
      <c r="O72" s="73">
        <f>IF(AND($E72="Novice",$G72="Yes"),'Point Schedule'!$C$47,IF(AND($E72="Advanced",$G72="Yes"),'Point Schedule'!$E$47,IF(AND($E72="Excellent",$G72="Yes"),'Point Schedule'!$G$47,0)))</f>
        <v>0</v>
      </c>
      <c r="P72" s="761"/>
      <c r="Q72" s="3"/>
      <c r="R72" s="3"/>
      <c r="S72" s="3"/>
      <c r="T72" s="3"/>
      <c r="U72" s="3"/>
      <c r="V72" s="3"/>
      <c r="W72" s="3"/>
      <c r="X72" s="3"/>
      <c r="Y72" s="3"/>
    </row>
    <row r="73" spans="1:25" ht="20.149999999999999" customHeight="1" x14ac:dyDescent="0.6">
      <c r="A73" s="387"/>
      <c r="B73" s="204"/>
      <c r="C73" s="545"/>
      <c r="D73" s="547"/>
      <c r="E73" s="205"/>
      <c r="F73" s="205"/>
      <c r="G73" s="205"/>
      <c r="H73" s="96">
        <f>IF(AND($E73="Novice",$F73="1st"),'Point Schedule'!$C$42,IF(AND($E73="Novice",$F73="2nd"),'Point Schedule'!$C$43,IF(AND($E73="Novice",$F73="3rd"),'Point Schedule'!$C$44,IF(AND($E73="Novice",$F73="4th"),'Point Schedule'!$C$45,0))))</f>
        <v>0</v>
      </c>
      <c r="I73" s="96">
        <f>IF(AND($E73="Intermediate",$F73="1st"),'Point Schedule'!$C$42,IF(AND($E73="Intermediate",$F73="2nd"),'Point Schedule'!$C$43,IF(AND($E73="Intermediate",$F73="3rd"),'Point Schedule'!$C$44,IF(AND($E73="Intermediate",$F73="4th"),'Point Schedule'!$C$45,0))))</f>
        <v>0</v>
      </c>
      <c r="J73" s="96">
        <f>IF(AND($E73="Advanced",$F73="1st"),'Point Schedule'!$E$42,IF(AND($E73="Advanced",$F73="2nd"),'Point Schedule'!$E$43,IF(AND($E73="Advanced",$F73="3rd"),'Point Schedule'!$E$44,IF(AND($E73="Advanced",$F73="4th"),'Point Schedule'!$E$45,0))))</f>
        <v>0</v>
      </c>
      <c r="K73" s="96">
        <f>IF(AND($E73="Excellent",$F73="1st"),'Point Schedule'!$G$42,IF(AND($E73="Excellent",$F73="2nd"),'Point Schedule'!$G$43,IF(AND($E73="Excellent",$F73="3rd"),'Point Schedule'!$G$44,IF(AND($E73="Excellent",$F73="4th"),'Point Schedule'!$G$45,0))))</f>
        <v>0</v>
      </c>
      <c r="L73" s="96">
        <f>IF(AND($E73="Master",$F73="1st"),'Point Schedule'!$I$42,IF(AND($E73="Master",$F73="2nd"),'Point Schedule'!$I$43,IF(AND($E73="Master",$F73="3rd"),'Point Schedule'!$I$44,IF(AND($E73="Master",$F73="4th"),'Point Schedule'!$I$45,0))))</f>
        <v>0</v>
      </c>
      <c r="M73" s="162">
        <f>IF(AND($B73=$B122,AND($G73=$G122),NOT($G73=0),NOT($B73=0),NOT($E73=$E122)),'Point Schedule'!$C$50,0)</f>
        <v>0</v>
      </c>
      <c r="N73" s="73">
        <f>IF(AND($E73="Master",$G73="Yes"),'Point Schedule'!$I$47,0)</f>
        <v>0</v>
      </c>
      <c r="O73" s="73">
        <f>IF(AND($E73="Novice",$G73="Yes"),'Point Schedule'!$C$47,IF(AND($E73="Advanced",$G73="Yes"),'Point Schedule'!$E$47,IF(AND($E73="Excellent",$G73="Yes"),'Point Schedule'!$G$47,0)))</f>
        <v>0</v>
      </c>
      <c r="P73" s="761"/>
      <c r="Q73" s="3"/>
      <c r="R73" s="3"/>
      <c r="S73" s="3"/>
      <c r="T73" s="3"/>
      <c r="U73" s="3"/>
      <c r="V73" s="3"/>
      <c r="W73" s="3"/>
      <c r="X73" s="3"/>
      <c r="Y73" s="3"/>
    </row>
    <row r="74" spans="1:25" ht="20.149999999999999" customHeight="1" x14ac:dyDescent="0.6">
      <c r="A74" s="387"/>
      <c r="B74" s="204"/>
      <c r="C74" s="545"/>
      <c r="D74" s="547"/>
      <c r="E74" s="205"/>
      <c r="F74" s="205"/>
      <c r="G74" s="205"/>
      <c r="H74" s="96">
        <f>IF(AND($E74="Novice",$F74="1st"),'Point Schedule'!$C$42,IF(AND($E74="Novice",$F74="2nd"),'Point Schedule'!$C$43,IF(AND($E74="Novice",$F74="3rd"),'Point Schedule'!$C$44,IF(AND($E74="Novice",$F74="4th"),'Point Schedule'!$C$45,0))))</f>
        <v>0</v>
      </c>
      <c r="I74" s="96">
        <f>IF(AND($E74="Intermediate",$F74="1st"),'Point Schedule'!$C$42,IF(AND($E74="Intermediate",$F74="2nd"),'Point Schedule'!$C$43,IF(AND($E74="Intermediate",$F74="3rd"),'Point Schedule'!$C$44,IF(AND($E74="Intermediate",$F74="4th"),'Point Schedule'!$C$45,0))))</f>
        <v>0</v>
      </c>
      <c r="J74" s="96">
        <f>IF(AND($E74="Advanced",$F74="1st"),'Point Schedule'!$E$42,IF(AND($E74="Advanced",$F74="2nd"),'Point Schedule'!$E$43,IF(AND($E74="Advanced",$F74="3rd"),'Point Schedule'!$E$44,IF(AND($E74="Advanced",$F74="4th"),'Point Schedule'!$E$45,0))))</f>
        <v>0</v>
      </c>
      <c r="K74" s="96">
        <f>IF(AND($E74="Excellent",$F74="1st"),'Point Schedule'!$G$42,IF(AND($E74="Excellent",$F74="2nd"),'Point Schedule'!$G$43,IF(AND($E74="Excellent",$F74="3rd"),'Point Schedule'!$G$44,IF(AND($E74="Excellent",$F74="4th"),'Point Schedule'!$G$45,0))))</f>
        <v>0</v>
      </c>
      <c r="L74" s="96">
        <f>IF(AND($E74="Master",$F74="1st"),'Point Schedule'!$I$42,IF(AND($E74="Master",$F74="2nd"),'Point Schedule'!$I$43,IF(AND($E74="Master",$F74="3rd"),'Point Schedule'!$I$44,IF(AND($E74="Master",$F74="4th"),'Point Schedule'!$I$45,0))))</f>
        <v>0</v>
      </c>
      <c r="M74" s="162">
        <f>IF(AND($B74=$B123,AND($G74=$G123),NOT($G74=0),NOT($B74=0),NOT($E74=$E123)),'Point Schedule'!$C$50,0)</f>
        <v>0</v>
      </c>
      <c r="N74" s="73">
        <f>IF(AND($E74="Master",$G74="Yes"),'Point Schedule'!$I$47,0)</f>
        <v>0</v>
      </c>
      <c r="O74" s="73">
        <f>IF(AND($E74="Novice",$G74="Yes"),'Point Schedule'!$C$47,IF(AND($E74="Advanced",$G74="Yes"),'Point Schedule'!$E$47,IF(AND($E74="Excellent",$G74="Yes"),'Point Schedule'!$G$47,0)))</f>
        <v>0</v>
      </c>
      <c r="P74" s="761"/>
      <c r="Q74" s="3"/>
      <c r="R74" s="3"/>
      <c r="S74" s="3"/>
      <c r="T74" s="3"/>
      <c r="U74" s="3"/>
      <c r="V74" s="3"/>
      <c r="W74" s="3"/>
      <c r="X74" s="3"/>
      <c r="Y74" s="3"/>
    </row>
    <row r="75" spans="1:25" ht="20.149999999999999" customHeight="1" x14ac:dyDescent="0.6">
      <c r="A75" s="387"/>
      <c r="B75" s="204"/>
      <c r="C75" s="545"/>
      <c r="D75" s="547"/>
      <c r="E75" s="205"/>
      <c r="F75" s="205"/>
      <c r="G75" s="205"/>
      <c r="H75" s="96">
        <f>IF(AND($E75="Novice",$F75="1st"),'Point Schedule'!$C$42,IF(AND($E75="Novice",$F75="2nd"),'Point Schedule'!$C$43,IF(AND($E75="Novice",$F75="3rd"),'Point Schedule'!$C$44,IF(AND($E75="Novice",$F75="4th"),'Point Schedule'!$C$45,0))))</f>
        <v>0</v>
      </c>
      <c r="I75" s="96">
        <f>IF(AND($E75="Intermediate",$F75="1st"),'Point Schedule'!$C$42,IF(AND($E75="Intermediate",$F75="2nd"),'Point Schedule'!$C$43,IF(AND($E75="Intermediate",$F75="3rd"),'Point Schedule'!$C$44,IF(AND($E75="Intermediate",$F75="4th"),'Point Schedule'!$C$45,0))))</f>
        <v>0</v>
      </c>
      <c r="J75" s="96">
        <f>IF(AND($E75="Advanced",$F75="1st"),'Point Schedule'!$E$42,IF(AND($E75="Advanced",$F75="2nd"),'Point Schedule'!$E$43,IF(AND($E75="Advanced",$F75="3rd"),'Point Schedule'!$E$44,IF(AND($E75="Advanced",$F75="4th"),'Point Schedule'!$E$45,0))))</f>
        <v>0</v>
      </c>
      <c r="K75" s="96">
        <f>IF(AND($E75="Excellent",$F75="1st"),'Point Schedule'!$G$42,IF(AND($E75="Excellent",$F75="2nd"),'Point Schedule'!$G$43,IF(AND($E75="Excellent",$F75="3rd"),'Point Schedule'!$G$44,IF(AND($E75="Excellent",$F75="4th"),'Point Schedule'!$G$45,0))))</f>
        <v>0</v>
      </c>
      <c r="L75" s="96">
        <f>IF(AND($E75="Master",$F75="1st"),'Point Schedule'!$I$42,IF(AND($E75="Master",$F75="2nd"),'Point Schedule'!$I$43,IF(AND($E75="Master",$F75="3rd"),'Point Schedule'!$I$44,IF(AND($E75="Master",$F75="4th"),'Point Schedule'!$I$45,0))))</f>
        <v>0</v>
      </c>
      <c r="M75" s="162">
        <f>IF(AND($B75=$B124,AND($G75=$G124),NOT($G75=0),NOT($B75=0),NOT($E75=$E124)),'Point Schedule'!$C$50,0)</f>
        <v>0</v>
      </c>
      <c r="N75" s="73">
        <f>IF(AND($E75="Master",$G75="Yes"),'Point Schedule'!$I$47,0)</f>
        <v>0</v>
      </c>
      <c r="O75" s="73">
        <f>IF(AND($E75="Novice",$G75="Yes"),'Point Schedule'!$C$47,IF(AND($E75="Advanced",$G75="Yes"),'Point Schedule'!$E$47,IF(AND($E75="Excellent",$G75="Yes"),'Point Schedule'!$G$47,0)))</f>
        <v>0</v>
      </c>
      <c r="P75" s="761"/>
      <c r="Q75" s="3"/>
      <c r="R75" s="3"/>
      <c r="S75" s="3"/>
      <c r="T75" s="3"/>
      <c r="U75" s="3"/>
      <c r="V75" s="3"/>
      <c r="W75" s="3"/>
      <c r="X75" s="3"/>
      <c r="Y75" s="3"/>
    </row>
    <row r="76" spans="1:25" ht="20.149999999999999" customHeight="1" x14ac:dyDescent="0.6">
      <c r="A76" s="387"/>
      <c r="B76" s="204"/>
      <c r="C76" s="545"/>
      <c r="D76" s="547"/>
      <c r="E76" s="205"/>
      <c r="F76" s="205"/>
      <c r="G76" s="205"/>
      <c r="H76" s="96">
        <f>IF(AND($E76="Novice",$F76="1st"),'Point Schedule'!$C$42,IF(AND($E76="Novice",$F76="2nd"),'Point Schedule'!$C$43,IF(AND($E76="Novice",$F76="3rd"),'Point Schedule'!$C$44,IF(AND($E76="Novice",$F76="4th"),'Point Schedule'!$C$45,0))))</f>
        <v>0</v>
      </c>
      <c r="I76" s="96">
        <f>IF(AND($E76="Intermediate",$F76="1st"),'Point Schedule'!$C$42,IF(AND($E76="Intermediate",$F76="2nd"),'Point Schedule'!$C$43,IF(AND($E76="Intermediate",$F76="3rd"),'Point Schedule'!$C$44,IF(AND($E76="Intermediate",$F76="4th"),'Point Schedule'!$C$45,0))))</f>
        <v>0</v>
      </c>
      <c r="J76" s="96">
        <f>IF(AND($E76="Advanced",$F76="1st"),'Point Schedule'!$E$42,IF(AND($E76="Advanced",$F76="2nd"),'Point Schedule'!$E$43,IF(AND($E76="Advanced",$F76="3rd"),'Point Schedule'!$E$44,IF(AND($E76="Advanced",$F76="4th"),'Point Schedule'!$E$45,0))))</f>
        <v>0</v>
      </c>
      <c r="K76" s="96">
        <f>IF(AND($E76="Excellent",$F76="1st"),'Point Schedule'!$G$42,IF(AND($E76="Excellent",$F76="2nd"),'Point Schedule'!$G$43,IF(AND($E76="Excellent",$F76="3rd"),'Point Schedule'!$G$44,IF(AND($E76="Excellent",$F76="4th"),'Point Schedule'!$G$45,0))))</f>
        <v>0</v>
      </c>
      <c r="L76" s="96">
        <f>IF(AND($E76="Master",$F76="1st"),'Point Schedule'!$I$42,IF(AND($E76="Master",$F76="2nd"),'Point Schedule'!$I$43,IF(AND($E76="Master",$F76="3rd"),'Point Schedule'!$I$44,IF(AND($E76="Master",$F76="4th"),'Point Schedule'!$I$45,0))))</f>
        <v>0</v>
      </c>
      <c r="M76" s="162">
        <f>IF(AND($B76=$B125,AND($G76=$G125),NOT($G76=0),NOT($B76=0),NOT($E76=$E125)),'Point Schedule'!$C$50,0)</f>
        <v>0</v>
      </c>
      <c r="N76" s="73">
        <f>IF(AND($E76="Master",$G76="Yes"),'Point Schedule'!$I$47,0)</f>
        <v>0</v>
      </c>
      <c r="O76" s="73">
        <f>IF(AND($E76="Novice",$G76="Yes"),'Point Schedule'!$C$47,IF(AND($E76="Advanced",$G76="Yes"),'Point Schedule'!$E$47,IF(AND($E76="Excellent",$G76="Yes"),'Point Schedule'!$G$47,0)))</f>
        <v>0</v>
      </c>
      <c r="P76" s="761"/>
      <c r="Q76" s="3"/>
      <c r="R76" s="3"/>
      <c r="S76" s="3"/>
      <c r="T76" s="3"/>
      <c r="U76" s="3"/>
      <c r="V76" s="3"/>
      <c r="W76" s="3"/>
      <c r="X76" s="3"/>
      <c r="Y76" s="3"/>
    </row>
    <row r="77" spans="1:25" ht="20.149999999999999" customHeight="1" x14ac:dyDescent="0.6">
      <c r="A77" s="387"/>
      <c r="B77" s="204"/>
      <c r="C77" s="545"/>
      <c r="D77" s="547"/>
      <c r="E77" s="205"/>
      <c r="F77" s="205"/>
      <c r="G77" s="205"/>
      <c r="H77" s="96">
        <f>IF(AND($E77="Novice",$F77="1st"),'Point Schedule'!$C$42,IF(AND($E77="Novice",$F77="2nd"),'Point Schedule'!$C$43,IF(AND($E77="Novice",$F77="3rd"),'Point Schedule'!$C$44,IF(AND($E77="Novice",$F77="4th"),'Point Schedule'!$C$45,0))))</f>
        <v>0</v>
      </c>
      <c r="I77" s="96">
        <f>IF(AND($E77="Intermediate",$F77="1st"),'Point Schedule'!$C$42,IF(AND($E77="Intermediate",$F77="2nd"),'Point Schedule'!$C$43,IF(AND($E77="Intermediate",$F77="3rd"),'Point Schedule'!$C$44,IF(AND($E77="Intermediate",$F77="4th"),'Point Schedule'!$C$45,0))))</f>
        <v>0</v>
      </c>
      <c r="J77" s="96">
        <f>IF(AND($E77="Advanced",$F77="1st"),'Point Schedule'!$E$42,IF(AND($E77="Advanced",$F77="2nd"),'Point Schedule'!$E$43,IF(AND($E77="Advanced",$F77="3rd"),'Point Schedule'!$E$44,IF(AND($E77="Advanced",$F77="4th"),'Point Schedule'!$E$45,0))))</f>
        <v>0</v>
      </c>
      <c r="K77" s="96">
        <f>IF(AND($E77="Excellent",$F77="1st"),'Point Schedule'!$G$42,IF(AND($E77="Excellent",$F77="2nd"),'Point Schedule'!$G$43,IF(AND($E77="Excellent",$F77="3rd"),'Point Schedule'!$G$44,IF(AND($E77="Excellent",$F77="4th"),'Point Schedule'!$G$45,0))))</f>
        <v>0</v>
      </c>
      <c r="L77" s="96">
        <f>IF(AND($E77="Master",$F77="1st"),'Point Schedule'!$I$42,IF(AND($E77="Master",$F77="2nd"),'Point Schedule'!$I$43,IF(AND($E77="Master",$F77="3rd"),'Point Schedule'!$I$44,IF(AND($E77="Master",$F77="4th"),'Point Schedule'!$I$45,0))))</f>
        <v>0</v>
      </c>
      <c r="M77" s="162">
        <f>IF(AND($B77=$B94,AND($G77=$G94),NOT($G77=0),NOT($B77=0),NOT($E77=$E94)),'Point Schedule'!$C$50,0)</f>
        <v>0</v>
      </c>
      <c r="N77" s="73">
        <f>IF(AND($E77="Master",$G77="Yes"),'Point Schedule'!$I$47,0)</f>
        <v>0</v>
      </c>
      <c r="O77" s="73">
        <f>IF(AND($E77="Novice",$G77="Yes"),'Point Schedule'!$C$47,IF(AND($E77="Advanced",$G77="Yes"),'Point Schedule'!$E$47,IF(AND($E77="Excellent",$G77="Yes"),'Point Schedule'!$G$47,0)))</f>
        <v>0</v>
      </c>
      <c r="P77" s="761"/>
      <c r="Q77" s="3"/>
      <c r="R77" s="3"/>
      <c r="S77" s="3"/>
      <c r="T77" s="3"/>
      <c r="U77" s="3"/>
      <c r="V77" s="3"/>
      <c r="W77" s="3"/>
      <c r="X77" s="3"/>
      <c r="Y77" s="3"/>
    </row>
    <row r="78" spans="1:25" ht="20.149999999999999" customHeight="1" x14ac:dyDescent="0.6">
      <c r="A78" s="387"/>
      <c r="B78" s="204"/>
      <c r="C78" s="545"/>
      <c r="D78" s="547"/>
      <c r="E78" s="205"/>
      <c r="F78" s="205"/>
      <c r="G78" s="205"/>
      <c r="H78" s="96">
        <f>IF(AND($E78="Novice",$F78="1st"),'Point Schedule'!$C$42,IF(AND($E78="Novice",$F78="2nd"),'Point Schedule'!$C$43,IF(AND($E78="Novice",$F78="3rd"),'Point Schedule'!$C$44,IF(AND($E78="Novice",$F78="4th"),'Point Schedule'!$C$45,0))))</f>
        <v>0</v>
      </c>
      <c r="I78" s="96">
        <f>IF(AND($E78="Intermediate",$F78="1st"),'Point Schedule'!$C$42,IF(AND($E78="Intermediate",$F78="2nd"),'Point Schedule'!$C$43,IF(AND($E78="Intermediate",$F78="3rd"),'Point Schedule'!$C$44,IF(AND($E78="Intermediate",$F78="4th"),'Point Schedule'!$C$45,0))))</f>
        <v>0</v>
      </c>
      <c r="J78" s="96">
        <f>IF(AND($E78="Advanced",$F78="1st"),'Point Schedule'!$E$42,IF(AND($E78="Advanced",$F78="2nd"),'Point Schedule'!$E$43,IF(AND($E78="Advanced",$F78="3rd"),'Point Schedule'!$E$44,IF(AND($E78="Advanced",$F78="4th"),'Point Schedule'!$E$45,0))))</f>
        <v>0</v>
      </c>
      <c r="K78" s="96">
        <f>IF(AND($E78="Excellent",$F78="1st"),'Point Schedule'!$G$42,IF(AND($E78="Excellent",$F78="2nd"),'Point Schedule'!$G$43,IF(AND($E78="Excellent",$F78="3rd"),'Point Schedule'!$G$44,IF(AND($E78="Excellent",$F78="4th"),'Point Schedule'!$G$45,0))))</f>
        <v>0</v>
      </c>
      <c r="L78" s="96">
        <f>IF(AND($E78="Master",$F78="1st"),'Point Schedule'!$I$42,IF(AND($E78="Master",$F78="2nd"),'Point Schedule'!$I$43,IF(AND($E78="Master",$F78="3rd"),'Point Schedule'!$I$44,IF(AND($E78="Master",$F78="4th"),'Point Schedule'!$I$45,0))))</f>
        <v>0</v>
      </c>
      <c r="M78" s="162">
        <f>IF(AND($B78=$B79,AND($G78=$G79),NOT($G78=0),NOT($B78=0),NOT($E78=$E79)),'Point Schedule'!$C$50,0)</f>
        <v>0</v>
      </c>
      <c r="N78" s="73">
        <f>IF(AND($E78="Master",$G78="Yes"),'Point Schedule'!$I$47,0)</f>
        <v>0</v>
      </c>
      <c r="O78" s="73">
        <f>IF(AND($E78="Novice",$G78="Yes"),'Point Schedule'!$C$47,IF(AND($E78="Advanced",$G78="Yes"),'Point Schedule'!$E$47,IF(AND($E78="Excellent",$G78="Yes"),'Point Schedule'!$G$47,0)))</f>
        <v>0</v>
      </c>
      <c r="P78" s="761"/>
      <c r="Q78" s="3"/>
      <c r="R78" s="3"/>
      <c r="S78" s="3"/>
      <c r="T78" s="3"/>
      <c r="U78" s="3"/>
      <c r="V78" s="3"/>
      <c r="W78" s="3"/>
      <c r="X78" s="3"/>
      <c r="Y78" s="3"/>
    </row>
    <row r="79" spans="1:25" ht="20.149999999999999" customHeight="1" x14ac:dyDescent="0.6">
      <c r="A79" s="387"/>
      <c r="B79" s="204"/>
      <c r="C79" s="545"/>
      <c r="D79" s="547"/>
      <c r="E79" s="205"/>
      <c r="F79" s="205"/>
      <c r="G79" s="205"/>
      <c r="H79" s="96">
        <f>IF(AND($E79="Novice",$F79="1st"),'Point Schedule'!$C$42,IF(AND($E79="Novice",$F79="2nd"),'Point Schedule'!$C$43,IF(AND($E79="Novice",$F79="3rd"),'Point Schedule'!$C$44,IF(AND($E79="Novice",$F79="4th"),'Point Schedule'!$C$45,0))))</f>
        <v>0</v>
      </c>
      <c r="I79" s="96">
        <f>IF(AND($E79="Intermediate",$F79="1st"),'Point Schedule'!$C$42,IF(AND($E79="Intermediate",$F79="2nd"),'Point Schedule'!$C$43,IF(AND($E79="Intermediate",$F79="3rd"),'Point Schedule'!$C$44,IF(AND($E79="Intermediate",$F79="4th"),'Point Schedule'!$C$45,0))))</f>
        <v>0</v>
      </c>
      <c r="J79" s="96">
        <f>IF(AND($E79="Advanced",$F79="1st"),'Point Schedule'!$E$42,IF(AND($E79="Advanced",$F79="2nd"),'Point Schedule'!$E$43,IF(AND($E79="Advanced",$F79="3rd"),'Point Schedule'!$E$44,IF(AND($E79="Advanced",$F79="4th"),'Point Schedule'!$E$45,0))))</f>
        <v>0</v>
      </c>
      <c r="K79" s="96">
        <f>IF(AND($E79="Excellent",$F79="1st"),'Point Schedule'!$G$42,IF(AND($E79="Excellent",$F79="2nd"),'Point Schedule'!$G$43,IF(AND($E79="Excellent",$F79="3rd"),'Point Schedule'!$G$44,IF(AND($E79="Excellent",$F79="4th"),'Point Schedule'!$G$45,0))))</f>
        <v>0</v>
      </c>
      <c r="L79" s="96">
        <f>IF(AND($E79="Master",$F79="1st"),'Point Schedule'!$I$42,IF(AND($E79="Master",$F79="2nd"),'Point Schedule'!$I$43,IF(AND($E79="Master",$F79="3rd"),'Point Schedule'!$I$44,IF(AND($E79="Master",$F79="4th"),'Point Schedule'!$I$45,0))))</f>
        <v>0</v>
      </c>
      <c r="M79" s="162">
        <f>IF(AND($B79=$B80,AND($G79=$G80),NOT($G79=0),NOT($B79=0),NOT($E79=$E80)),'Point Schedule'!$C$50,0)</f>
        <v>0</v>
      </c>
      <c r="N79" s="73">
        <f>IF(AND($E79="Master",$G79="Yes"),'Point Schedule'!$I$47,0)</f>
        <v>0</v>
      </c>
      <c r="O79" s="73">
        <f>IF(AND($E79="Novice",$G79="Yes"),'Point Schedule'!$C$47,IF(AND($E79="Advanced",$G79="Yes"),'Point Schedule'!$E$47,IF(AND($E79="Excellent",$G79="Yes"),'Point Schedule'!$G$47,0)))</f>
        <v>0</v>
      </c>
      <c r="P79" s="761"/>
      <c r="Q79" s="3"/>
      <c r="R79" s="3"/>
      <c r="S79" s="3"/>
      <c r="T79" s="3"/>
      <c r="U79" s="3"/>
      <c r="V79" s="3"/>
      <c r="W79" s="3"/>
      <c r="X79" s="3"/>
      <c r="Y79" s="3"/>
    </row>
    <row r="80" spans="1:25" ht="20.149999999999999" customHeight="1" thickBot="1" x14ac:dyDescent="0.75">
      <c r="A80" s="387"/>
      <c r="B80" s="208"/>
      <c r="C80" s="850"/>
      <c r="D80" s="851"/>
      <c r="E80" s="210"/>
      <c r="F80" s="210"/>
      <c r="G80" s="210"/>
      <c r="H80" s="96">
        <f>IF(AND($E80="Novice",$F80="1st"),'Point Schedule'!$C$42,IF(AND($E80="Novice",$F80="2nd"),'Point Schedule'!$C$43,IF(AND($E80="Novice",$F80="3rd"),'Point Schedule'!$C$44,IF(AND($E80="Novice",$F80="4th"),'Point Schedule'!$C$45,0))))</f>
        <v>0</v>
      </c>
      <c r="I80" s="96">
        <f>IF(AND($E80="Intermediate",$F80="1st"),'Point Schedule'!$C$42,IF(AND($E80="Intermediate",$F80="2nd"),'Point Schedule'!$C$43,IF(AND($E80="Intermediate",$F80="3rd"),'Point Schedule'!$C$44,IF(AND($E80="Intermediate",$F80="4th"),'Point Schedule'!$C$45,0))))</f>
        <v>0</v>
      </c>
      <c r="J80" s="96">
        <f>IF(AND($E80="Advanced",$F80="1st"),'Point Schedule'!$E$42,IF(AND($E80="Advanced",$F80="2nd"),'Point Schedule'!$E$43,IF(AND($E80="Advanced",$F80="3rd"),'Point Schedule'!$E$44,IF(AND($E80="Advanced",$F80="4th"),'Point Schedule'!$E$45,0))))</f>
        <v>0</v>
      </c>
      <c r="K80" s="96">
        <f>IF(AND($E80="Excellent",$F80="1st"),'Point Schedule'!$G$42,IF(AND($E80="Excellent",$F80="2nd"),'Point Schedule'!$G$43,IF(AND($E80="Excellent",$F80="3rd"),'Point Schedule'!$G$44,IF(AND($E80="Excellent",$F80="4th"),'Point Schedule'!$G$45,0))))</f>
        <v>0</v>
      </c>
      <c r="L80" s="96">
        <f>IF(AND($E80="Master",$F80="1st"),'Point Schedule'!$I$42,IF(AND($E80="Master",$F80="2nd"),'Point Schedule'!$I$43,IF(AND($E80="Master",$F80="3rd"),'Point Schedule'!$I$44,IF(AND($E80="Master",$F80="4th"),'Point Schedule'!$I$45,0))))</f>
        <v>0</v>
      </c>
      <c r="M80" s="162">
        <f>IF(AND($B80=$B81,AND($G80=$G81),NOT($G80=0),NOT($B80=0),NOT($E80=$E81)),'Point Schedule'!$C$50,0)</f>
        <v>0</v>
      </c>
      <c r="N80" s="73">
        <f>IF(AND($E80="Master",$G80="Yes"),'Point Schedule'!$I$47,0)</f>
        <v>0</v>
      </c>
      <c r="O80" s="73">
        <f>IF(AND($E80="Novice",$G80="Yes"),'Point Schedule'!$C$47,IF(AND($E80="Advanced",$G80="Yes"),'Point Schedule'!$E$47,IF(AND($E80="Excellent",$G80="Yes"),'Point Schedule'!$G$47,0)))</f>
        <v>0</v>
      </c>
      <c r="P80" s="761"/>
      <c r="Q80" s="3"/>
      <c r="R80" s="3"/>
      <c r="S80" s="3"/>
      <c r="T80" s="3"/>
      <c r="U80" s="3"/>
      <c r="V80" s="3"/>
      <c r="W80" s="3"/>
      <c r="X80" s="3"/>
      <c r="Y80" s="3"/>
    </row>
    <row r="81" spans="1:25" ht="20.149999999999999" customHeight="1" thickTop="1" thickBot="1" x14ac:dyDescent="0.75">
      <c r="A81" s="387"/>
      <c r="B81" s="63" t="s">
        <v>130</v>
      </c>
      <c r="C81" s="124">
        <f>SUM(H13:O80)</f>
        <v>0</v>
      </c>
      <c r="D81" s="125"/>
      <c r="E81" s="20"/>
      <c r="F81" s="20"/>
      <c r="G81" s="20"/>
      <c r="H81" s="20"/>
      <c r="I81" s="20"/>
      <c r="J81" s="20"/>
      <c r="K81" s="20"/>
      <c r="L81" s="20"/>
      <c r="M81" s="20"/>
      <c r="N81" s="20"/>
      <c r="O81" s="20"/>
      <c r="P81" s="761"/>
      <c r="Q81" s="3"/>
      <c r="R81" s="3"/>
      <c r="S81" s="3"/>
      <c r="T81" s="3"/>
      <c r="U81" s="3"/>
      <c r="V81" s="3"/>
      <c r="W81" s="3"/>
      <c r="X81" s="3"/>
      <c r="Y81" s="3"/>
    </row>
    <row r="82" spans="1:25" ht="14.5" thickTop="1" thickBot="1" x14ac:dyDescent="0.75">
      <c r="A82" s="551"/>
      <c r="B82" s="759"/>
      <c r="C82" s="759"/>
      <c r="D82" s="759"/>
      <c r="E82" s="759"/>
      <c r="F82" s="759"/>
      <c r="G82" s="759"/>
      <c r="H82" s="759"/>
      <c r="I82" s="759"/>
      <c r="J82" s="759"/>
      <c r="K82" s="759"/>
      <c r="L82" s="759"/>
      <c r="M82" s="759"/>
      <c r="N82" s="759"/>
      <c r="O82" s="759"/>
      <c r="P82" s="760"/>
    </row>
    <row r="83" spans="1:25" ht="13.75" thickTop="1" x14ac:dyDescent="0.6"/>
    <row r="85" spans="1:25" ht="13.5" customHeight="1" x14ac:dyDescent="0.6"/>
    <row r="86" spans="1:25" x14ac:dyDescent="0.6">
      <c r="K86" s="1"/>
      <c r="L86" s="1"/>
      <c r="M86" s="1"/>
      <c r="N86" s="1"/>
    </row>
  </sheetData>
  <sheetProtection algorithmName="SHA-512" hashValue="RN+KeiT01fZ0ZBBUAajO39hV6+WlnVf43ZJfWmve7BebJ8w4/r2xGQio4umcoIOkY2DDVPH0rnNsz+YQ6EM1Ag==" saltValue="XR9uW4zKVHu4/Vn7lKOsqQ==" spinCount="100000" sheet="1" objects="1" scenarios="1"/>
  <mergeCells count="91">
    <mergeCell ref="C72:D72"/>
    <mergeCell ref="C73:D73"/>
    <mergeCell ref="C74:D74"/>
    <mergeCell ref="C75:D75"/>
    <mergeCell ref="C76:D76"/>
    <mergeCell ref="C67:D67"/>
    <mergeCell ref="C68:D68"/>
    <mergeCell ref="C69:D69"/>
    <mergeCell ref="C70:D70"/>
    <mergeCell ref="C71:D71"/>
    <mergeCell ref="C62:D62"/>
    <mergeCell ref="C63:D63"/>
    <mergeCell ref="C64:D64"/>
    <mergeCell ref="C65:D65"/>
    <mergeCell ref="C66:D66"/>
    <mergeCell ref="C57:D57"/>
    <mergeCell ref="C58:D58"/>
    <mergeCell ref="C59:D59"/>
    <mergeCell ref="C60:D60"/>
    <mergeCell ref="C61:D61"/>
    <mergeCell ref="C52:D52"/>
    <mergeCell ref="C53:D53"/>
    <mergeCell ref="C54:D54"/>
    <mergeCell ref="C55:D55"/>
    <mergeCell ref="C56:D56"/>
    <mergeCell ref="B5:D5"/>
    <mergeCell ref="A1:P1"/>
    <mergeCell ref="B2:O2"/>
    <mergeCell ref="B3:O3"/>
    <mergeCell ref="B4:D4"/>
    <mergeCell ref="E4:O4"/>
    <mergeCell ref="A82:P82"/>
    <mergeCell ref="P2:P81"/>
    <mergeCell ref="A2:A81"/>
    <mergeCell ref="K10:K11"/>
    <mergeCell ref="O10:O11"/>
    <mergeCell ref="C79:D79"/>
    <mergeCell ref="C80:D80"/>
    <mergeCell ref="E5:O5"/>
    <mergeCell ref="E6:O6"/>
    <mergeCell ref="E7:O7"/>
    <mergeCell ref="H10:H11"/>
    <mergeCell ref="C13:D13"/>
    <mergeCell ref="C14:D14"/>
    <mergeCell ref="C16:D16"/>
    <mergeCell ref="C17:D17"/>
    <mergeCell ref="B6:D6"/>
    <mergeCell ref="C78:D78"/>
    <mergeCell ref="C29:D29"/>
    <mergeCell ref="C15:D15"/>
    <mergeCell ref="C18:D18"/>
    <mergeCell ref="B7:D7"/>
    <mergeCell ref="B10:B11"/>
    <mergeCell ref="C19:D19"/>
    <mergeCell ref="C22:D22"/>
    <mergeCell ref="C21:D21"/>
    <mergeCell ref="C26:D26"/>
    <mergeCell ref="C20:D20"/>
    <mergeCell ref="C25:D25"/>
    <mergeCell ref="C28:D28"/>
    <mergeCell ref="C27:D27"/>
    <mergeCell ref="C30:D30"/>
    <mergeCell ref="C31:D31"/>
    <mergeCell ref="M10:M11"/>
    <mergeCell ref="C23:D23"/>
    <mergeCell ref="C12:D12"/>
    <mergeCell ref="C24:D24"/>
    <mergeCell ref="C10:D11"/>
    <mergeCell ref="J10:J11"/>
    <mergeCell ref="I10:I11"/>
    <mergeCell ref="C32:D32"/>
    <mergeCell ref="C33:D33"/>
    <mergeCell ref="C34:D34"/>
    <mergeCell ref="C35:D35"/>
    <mergeCell ref="C36:D36"/>
    <mergeCell ref="C42:D42"/>
    <mergeCell ref="C43:D43"/>
    <mergeCell ref="C44:D44"/>
    <mergeCell ref="C77:D77"/>
    <mergeCell ref="C37:D37"/>
    <mergeCell ref="C38:D38"/>
    <mergeCell ref="C39:D39"/>
    <mergeCell ref="C40:D40"/>
    <mergeCell ref="C41:D41"/>
    <mergeCell ref="C45:D45"/>
    <mergeCell ref="C46:D46"/>
    <mergeCell ref="C47:D47"/>
    <mergeCell ref="C48:D48"/>
    <mergeCell ref="C49:D49"/>
    <mergeCell ref="C50:D50"/>
    <mergeCell ref="C51:D51"/>
  </mergeCells>
  <phoneticPr fontId="2" type="noConversion"/>
  <dataValidations count="2">
    <dataValidation type="list" allowBlank="1" showInputMessage="1" showErrorMessage="1" sqref="F13:F80" xr:uid="{00000000-0002-0000-0700-000001000000}">
      <formula1>Placement</formula1>
    </dataValidation>
    <dataValidation type="list" allowBlank="1" showInputMessage="1" showErrorMessage="1" sqref="G13:G80" xr:uid="{00000000-0002-0000-0700-000002000000}">
      <formula1>YN</formula1>
    </dataValidation>
  </dataValidations>
  <printOptions horizontalCentered="1" verticalCentered="1"/>
  <pageMargins left="0.25" right="0.25" top="0.25" bottom="0.25" header="0" footer="0"/>
  <pageSetup scale="36" orientation="landscape" r:id="rId1"/>
  <headerFooter alignWithMargins="0"/>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700-000000000000}">
          <x14:formula1>
            <xm:f>'Pull Down Menus'!$O$1:$O$5</xm:f>
          </x14:formula1>
          <xm:sqref>E13:E80</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0">
    <pageSetUpPr fitToPage="1"/>
  </sheetPr>
  <dimension ref="A1:Z26"/>
  <sheetViews>
    <sheetView zoomScaleNormal="100" workbookViewId="0">
      <selection activeCell="G13" sqref="G13"/>
    </sheetView>
  </sheetViews>
  <sheetFormatPr defaultColWidth="12.6796875" defaultRowHeight="13" x14ac:dyDescent="0.6"/>
  <cols>
    <col min="1" max="1" width="2.6796875" customWidth="1"/>
    <col min="2" max="2" width="12.6796875" customWidth="1"/>
    <col min="3" max="3" width="15.6796875" customWidth="1"/>
    <col min="4" max="4" width="30.6796875" customWidth="1"/>
    <col min="5" max="5" width="14.76953125" customWidth="1"/>
    <col min="6" max="10" width="12.6796875" customWidth="1"/>
    <col min="11" max="11" width="14.453125" customWidth="1"/>
    <col min="12" max="16" width="12.6796875" customWidth="1"/>
    <col min="17" max="17" width="2.6796875" customWidth="1"/>
  </cols>
  <sheetData>
    <row r="1" spans="1:26" ht="14.5" thickTop="1" thickBot="1" x14ac:dyDescent="0.75">
      <c r="A1" s="742"/>
      <c r="B1" s="743"/>
      <c r="C1" s="743"/>
      <c r="D1" s="743"/>
      <c r="E1" s="743"/>
      <c r="F1" s="743"/>
      <c r="G1" s="743"/>
      <c r="H1" s="743"/>
      <c r="I1" s="743"/>
      <c r="J1" s="743"/>
      <c r="K1" s="743"/>
      <c r="L1" s="743"/>
      <c r="M1" s="743"/>
      <c r="N1" s="743"/>
      <c r="O1" s="743"/>
      <c r="P1" s="743"/>
      <c r="Q1" s="744"/>
    </row>
    <row r="2" spans="1:26" ht="25.15" customHeight="1" thickTop="1" thickBot="1" x14ac:dyDescent="0.75">
      <c r="A2" s="387"/>
      <c r="B2" s="745" t="s">
        <v>269</v>
      </c>
      <c r="C2" s="746"/>
      <c r="D2" s="746"/>
      <c r="E2" s="747"/>
      <c r="F2" s="747"/>
      <c r="G2" s="747"/>
      <c r="H2" s="747"/>
      <c r="I2" s="747"/>
      <c r="J2" s="747"/>
      <c r="K2" s="747"/>
      <c r="L2" s="747"/>
      <c r="M2" s="747"/>
      <c r="N2" s="747"/>
      <c r="O2" s="747"/>
      <c r="P2" s="748"/>
      <c r="Q2" s="761"/>
    </row>
    <row r="3" spans="1:26" ht="20.149999999999999" customHeight="1" thickTop="1" thickBot="1" x14ac:dyDescent="0.75">
      <c r="A3" s="387"/>
      <c r="B3" s="388"/>
      <c r="C3" s="388"/>
      <c r="D3" s="388"/>
      <c r="E3" s="388"/>
      <c r="F3" s="388"/>
      <c r="G3" s="388"/>
      <c r="H3" s="388"/>
      <c r="I3" s="388"/>
      <c r="J3" s="388"/>
      <c r="K3" s="388"/>
      <c r="L3" s="388"/>
      <c r="M3" s="388"/>
      <c r="N3" s="388"/>
      <c r="O3" s="388"/>
      <c r="P3" s="388"/>
      <c r="Q3" s="761"/>
    </row>
    <row r="4" spans="1:26" ht="20.149999999999999" customHeight="1" thickTop="1" x14ac:dyDescent="0.7">
      <c r="A4" s="387"/>
      <c r="B4" s="448" t="s">
        <v>510</v>
      </c>
      <c r="C4" s="564"/>
      <c r="D4" s="564"/>
      <c r="E4" s="438"/>
      <c r="F4" s="752" t="str">
        <f>SUBSTITUTE(Summary!$D$5,,Summary!$D$5)</f>
        <v/>
      </c>
      <c r="G4" s="753"/>
      <c r="H4" s="753"/>
      <c r="I4" s="753"/>
      <c r="J4" s="753"/>
      <c r="K4" s="753"/>
      <c r="L4" s="753"/>
      <c r="M4" s="753"/>
      <c r="N4" s="753"/>
      <c r="O4" s="753"/>
      <c r="P4" s="754"/>
      <c r="Q4" s="761"/>
      <c r="R4" s="3"/>
      <c r="S4" s="3"/>
      <c r="T4" s="3"/>
      <c r="U4" s="3"/>
      <c r="V4" s="3"/>
      <c r="W4" s="3"/>
      <c r="X4" s="3"/>
      <c r="Y4" s="3"/>
      <c r="Z4" s="3"/>
    </row>
    <row r="5" spans="1:26" ht="20.149999999999999" customHeight="1" x14ac:dyDescent="0.7">
      <c r="A5" s="387"/>
      <c r="B5" s="449" t="s">
        <v>66</v>
      </c>
      <c r="C5" s="586"/>
      <c r="D5" s="586"/>
      <c r="E5" s="413"/>
      <c r="F5" s="767" t="str">
        <f>SUBSTITUTE(Summary!D7,,Summary!D7)</f>
        <v/>
      </c>
      <c r="G5" s="768"/>
      <c r="H5" s="768"/>
      <c r="I5" s="768"/>
      <c r="J5" s="768"/>
      <c r="K5" s="768"/>
      <c r="L5" s="768"/>
      <c r="M5" s="768"/>
      <c r="N5" s="768"/>
      <c r="O5" s="768"/>
      <c r="P5" s="769"/>
      <c r="Q5" s="761"/>
      <c r="R5" s="3"/>
      <c r="S5" s="3"/>
      <c r="T5" s="3"/>
      <c r="U5" s="3"/>
      <c r="V5" s="3"/>
      <c r="W5" s="3"/>
      <c r="X5" s="3"/>
      <c r="Y5" s="3"/>
      <c r="Z5" s="3"/>
    </row>
    <row r="6" spans="1:26" ht="20.149999999999999" customHeight="1" x14ac:dyDescent="0.7">
      <c r="A6" s="387"/>
      <c r="B6" s="449" t="s">
        <v>100</v>
      </c>
      <c r="C6" s="586"/>
      <c r="D6" s="586"/>
      <c r="E6" s="413"/>
      <c r="F6" s="767" t="str">
        <f>SUBSTITUTE(Summary!D8,,Summary!D8)</f>
        <v/>
      </c>
      <c r="G6" s="768"/>
      <c r="H6" s="768"/>
      <c r="I6" s="768"/>
      <c r="J6" s="768"/>
      <c r="K6" s="768"/>
      <c r="L6" s="768"/>
      <c r="M6" s="768"/>
      <c r="N6" s="768"/>
      <c r="O6" s="768"/>
      <c r="P6" s="769"/>
      <c r="Q6" s="761"/>
      <c r="R6" s="3"/>
      <c r="S6" s="3"/>
      <c r="T6" s="3"/>
      <c r="U6" s="3"/>
      <c r="V6" s="3"/>
      <c r="W6" s="3"/>
      <c r="X6" s="3"/>
      <c r="Y6" s="3"/>
      <c r="Z6" s="3"/>
    </row>
    <row r="7" spans="1:26" ht="20.149999999999999" customHeight="1" thickBot="1" x14ac:dyDescent="0.85">
      <c r="A7" s="387"/>
      <c r="B7" s="764" t="s">
        <v>299</v>
      </c>
      <c r="C7" s="765"/>
      <c r="D7" s="765"/>
      <c r="E7" s="766"/>
      <c r="F7" s="770" t="str">
        <f>SUBSTITUTE(Summary!D9,,Summary!D9)</f>
        <v/>
      </c>
      <c r="G7" s="765"/>
      <c r="H7" s="765"/>
      <c r="I7" s="765"/>
      <c r="J7" s="765"/>
      <c r="K7" s="765"/>
      <c r="L7" s="765"/>
      <c r="M7" s="765"/>
      <c r="N7" s="765"/>
      <c r="O7" s="765"/>
      <c r="P7" s="771"/>
      <c r="Q7" s="761"/>
      <c r="R7" s="3"/>
      <c r="S7" s="3"/>
      <c r="T7" s="3"/>
      <c r="U7" s="3"/>
      <c r="V7" s="3"/>
      <c r="W7" s="3"/>
      <c r="X7" s="3"/>
      <c r="Y7" s="3"/>
      <c r="Z7" s="3"/>
    </row>
    <row r="8" spans="1:26" ht="20.149999999999999" customHeight="1" thickTop="1" x14ac:dyDescent="0.6">
      <c r="A8" s="387"/>
      <c r="B8" s="20"/>
      <c r="C8" s="16"/>
      <c r="D8" s="16"/>
      <c r="E8" s="16"/>
      <c r="F8" s="16"/>
      <c r="G8" s="16"/>
      <c r="H8" s="16"/>
      <c r="I8" s="16"/>
      <c r="J8" s="16"/>
      <c r="K8" s="16"/>
      <c r="L8" s="16"/>
      <c r="M8" s="16"/>
      <c r="N8" s="16"/>
      <c r="O8" s="16"/>
      <c r="P8" s="16"/>
      <c r="Q8" s="761"/>
      <c r="R8" s="3"/>
      <c r="S8" s="3"/>
      <c r="T8" s="3"/>
      <c r="U8" s="3"/>
      <c r="V8" s="3"/>
      <c r="W8" s="3"/>
      <c r="X8" s="3"/>
      <c r="Y8" s="3"/>
      <c r="Z8" s="3"/>
    </row>
    <row r="9" spans="1:26" ht="16.149999999999999" customHeight="1" thickBot="1" x14ac:dyDescent="0.75">
      <c r="A9" s="387"/>
      <c r="B9" s="52"/>
      <c r="C9" s="16"/>
      <c r="D9" s="16"/>
      <c r="E9" s="16"/>
      <c r="F9" s="16"/>
      <c r="G9" s="16"/>
      <c r="H9" s="16"/>
      <c r="I9" s="16"/>
      <c r="J9" s="16"/>
      <c r="K9" s="16"/>
      <c r="L9" s="52"/>
      <c r="M9" s="52"/>
      <c r="N9" s="52"/>
      <c r="O9" s="52"/>
      <c r="P9" s="52"/>
      <c r="Q9" s="761"/>
      <c r="R9" s="3"/>
      <c r="S9" s="3"/>
      <c r="T9" s="3"/>
      <c r="U9" s="3"/>
      <c r="V9" s="3"/>
      <c r="W9" s="3"/>
      <c r="X9" s="3"/>
      <c r="Y9" s="3"/>
      <c r="Z9" s="3"/>
    </row>
    <row r="10" spans="1:26" s="3" customFormat="1" ht="31.75" thickTop="1" x14ac:dyDescent="0.6">
      <c r="A10" s="387"/>
      <c r="B10" s="489" t="s">
        <v>10</v>
      </c>
      <c r="C10" s="452" t="s">
        <v>271</v>
      </c>
      <c r="D10" s="454"/>
      <c r="E10" s="103" t="s">
        <v>58</v>
      </c>
      <c r="F10" s="103" t="s">
        <v>134</v>
      </c>
      <c r="G10" s="490" t="s">
        <v>767</v>
      </c>
      <c r="H10" s="103" t="s">
        <v>135</v>
      </c>
      <c r="I10" s="103" t="s">
        <v>136</v>
      </c>
      <c r="J10" s="103" t="s">
        <v>137</v>
      </c>
      <c r="K10" s="490" t="s">
        <v>138</v>
      </c>
      <c r="L10" s="490" t="s">
        <v>139</v>
      </c>
      <c r="M10" s="490" t="s">
        <v>766</v>
      </c>
      <c r="N10" s="490" t="s">
        <v>140</v>
      </c>
      <c r="O10" s="490" t="s">
        <v>141</v>
      </c>
      <c r="P10" s="853" t="s">
        <v>142</v>
      </c>
      <c r="Q10" s="761"/>
    </row>
    <row r="11" spans="1:26" s="3" customFormat="1" ht="31" x14ac:dyDescent="0.6">
      <c r="A11" s="387"/>
      <c r="B11" s="776"/>
      <c r="C11" s="455"/>
      <c r="D11" s="457"/>
      <c r="E11" s="126" t="s">
        <v>213</v>
      </c>
      <c r="F11" s="126" t="s">
        <v>213</v>
      </c>
      <c r="G11" s="852"/>
      <c r="H11" s="126" t="s">
        <v>213</v>
      </c>
      <c r="I11" s="126" t="s">
        <v>213</v>
      </c>
      <c r="J11" s="126" t="s">
        <v>213</v>
      </c>
      <c r="K11" s="852"/>
      <c r="L11" s="852"/>
      <c r="M11" s="852"/>
      <c r="N11" s="852"/>
      <c r="O11" s="852"/>
      <c r="P11" s="854"/>
      <c r="Q11" s="761"/>
    </row>
    <row r="12" spans="1:26" ht="20.149999999999999" customHeight="1" x14ac:dyDescent="0.6">
      <c r="A12" s="387"/>
      <c r="B12" s="281" t="s">
        <v>572</v>
      </c>
      <c r="C12" s="796" t="s">
        <v>573</v>
      </c>
      <c r="D12" s="797"/>
      <c r="E12" s="270" t="s">
        <v>574</v>
      </c>
      <c r="F12" s="270" t="s">
        <v>574</v>
      </c>
      <c r="G12" s="270" t="s">
        <v>574</v>
      </c>
      <c r="H12" s="270" t="s">
        <v>574</v>
      </c>
      <c r="I12" s="270" t="s">
        <v>574</v>
      </c>
      <c r="J12" s="270" t="s">
        <v>574</v>
      </c>
      <c r="K12" s="96">
        <f>IF(E12="Yes",'Point Schedule'!$O$44,0)</f>
        <v>0</v>
      </c>
      <c r="L12" s="96">
        <f>IF(F12="Yes",'Point Schedule'!$O$45,0)</f>
        <v>0</v>
      </c>
      <c r="M12" s="96">
        <f>IF(G12="Yes",'Point Schedule'!$O$45,0)</f>
        <v>0</v>
      </c>
      <c r="N12" s="96">
        <f>IF(H12="Yes",'Point Schedule'!$O$46,0)</f>
        <v>0</v>
      </c>
      <c r="O12" s="96">
        <f>IF(I12="Yes",'Point Schedule'!$O$47,0)</f>
        <v>0</v>
      </c>
      <c r="P12" s="73">
        <f>IF(J12="Yes",'Point Schedule'!$O$49,0)</f>
        <v>0</v>
      </c>
      <c r="Q12" s="761"/>
      <c r="R12" s="3"/>
      <c r="S12" s="3"/>
      <c r="T12" s="3"/>
      <c r="U12" s="3"/>
      <c r="V12" s="3"/>
      <c r="W12" s="3"/>
      <c r="X12" s="3"/>
      <c r="Y12" s="3"/>
      <c r="Z12" s="3"/>
    </row>
    <row r="13" spans="1:26" ht="20.149999999999999" customHeight="1" x14ac:dyDescent="0.6">
      <c r="A13" s="387"/>
      <c r="B13" s="204"/>
      <c r="C13" s="545"/>
      <c r="D13" s="547"/>
      <c r="E13" s="205"/>
      <c r="F13" s="205"/>
      <c r="G13" s="205"/>
      <c r="H13" s="205"/>
      <c r="I13" s="205"/>
      <c r="J13" s="206"/>
      <c r="K13" s="96">
        <f>IF(E13="Yes",'Point Schedule'!$O$44,0)</f>
        <v>0</v>
      </c>
      <c r="L13" s="96">
        <f>IF(F13="Yes",'Point Schedule'!$O$45,0)</f>
        <v>0</v>
      </c>
      <c r="M13" s="96">
        <f>IF(G13="Yes",'Point Schedule'!$O$45,0)</f>
        <v>0</v>
      </c>
      <c r="N13" s="96">
        <f>IF(H13="Yes",'Point Schedule'!$O$46,0)</f>
        <v>0</v>
      </c>
      <c r="O13" s="96">
        <f>IF(I13="Yes",'Point Schedule'!$O$47,0)</f>
        <v>0</v>
      </c>
      <c r="P13" s="73">
        <f>IF(J13="Yes",'Point Schedule'!$O$49,0)</f>
        <v>0</v>
      </c>
      <c r="Q13" s="761"/>
      <c r="R13" s="3"/>
      <c r="S13" s="3"/>
      <c r="T13" s="3"/>
      <c r="U13" s="3"/>
      <c r="V13" s="3"/>
      <c r="W13" s="3"/>
      <c r="X13" s="3"/>
      <c r="Y13" s="3"/>
      <c r="Z13" s="3"/>
    </row>
    <row r="14" spans="1:26" ht="20.149999999999999" customHeight="1" x14ac:dyDescent="0.6">
      <c r="A14" s="387"/>
      <c r="B14" s="204"/>
      <c r="C14" s="545"/>
      <c r="D14" s="547"/>
      <c r="E14" s="205"/>
      <c r="F14" s="205"/>
      <c r="G14" s="205"/>
      <c r="H14" s="205"/>
      <c r="I14" s="205"/>
      <c r="J14" s="206"/>
      <c r="K14" s="96">
        <f>IF(E14="Yes",'Point Schedule'!$O$44,0)</f>
        <v>0</v>
      </c>
      <c r="L14" s="96">
        <f>IF(F14="Yes",'Point Schedule'!$O$45,0)</f>
        <v>0</v>
      </c>
      <c r="M14" s="96">
        <f>IF(G14="Yes",'Point Schedule'!$O$45,0)</f>
        <v>0</v>
      </c>
      <c r="N14" s="96">
        <f>IF(H14="Yes",'Point Schedule'!$O$46,0)</f>
        <v>0</v>
      </c>
      <c r="O14" s="96">
        <f>IF(I14="Yes",'Point Schedule'!$O$47,0)</f>
        <v>0</v>
      </c>
      <c r="P14" s="73">
        <f>IF(J14="Yes",'Point Schedule'!$O$49,0)</f>
        <v>0</v>
      </c>
      <c r="Q14" s="761"/>
      <c r="R14" s="3"/>
      <c r="S14" s="3"/>
      <c r="T14" s="3"/>
      <c r="U14" s="3"/>
      <c r="V14" s="3"/>
      <c r="W14" s="3"/>
      <c r="X14" s="3"/>
      <c r="Y14" s="3"/>
      <c r="Z14" s="3"/>
    </row>
    <row r="15" spans="1:26" ht="20.149999999999999" customHeight="1" x14ac:dyDescent="0.6">
      <c r="A15" s="387"/>
      <c r="B15" s="204"/>
      <c r="C15" s="545"/>
      <c r="D15" s="547"/>
      <c r="E15" s="205"/>
      <c r="F15" s="205"/>
      <c r="G15" s="205"/>
      <c r="H15" s="205"/>
      <c r="I15" s="205"/>
      <c r="J15" s="206"/>
      <c r="K15" s="96">
        <f>IF(E15="Yes",'Point Schedule'!$O$44,0)</f>
        <v>0</v>
      </c>
      <c r="L15" s="96">
        <f>IF(F15="Yes",'Point Schedule'!$O$45,0)</f>
        <v>0</v>
      </c>
      <c r="M15" s="96">
        <f>IF(G15="Yes",'Point Schedule'!$O$45,0)</f>
        <v>0</v>
      </c>
      <c r="N15" s="96">
        <f>IF(H15="Yes",'Point Schedule'!$O$46,0)</f>
        <v>0</v>
      </c>
      <c r="O15" s="96">
        <f>IF(I15="Yes",'Point Schedule'!$O$47,0)</f>
        <v>0</v>
      </c>
      <c r="P15" s="73">
        <f>IF(J15="Yes",'Point Schedule'!$O$49,0)</f>
        <v>0</v>
      </c>
      <c r="Q15" s="761"/>
      <c r="R15" s="3"/>
      <c r="S15" s="3"/>
      <c r="T15" s="3"/>
      <c r="U15" s="3"/>
      <c r="V15" s="3"/>
      <c r="W15" s="3"/>
      <c r="X15" s="3"/>
      <c r="Y15" s="3"/>
      <c r="Z15" s="3"/>
    </row>
    <row r="16" spans="1:26" ht="20.149999999999999" customHeight="1" x14ac:dyDescent="0.6">
      <c r="A16" s="387"/>
      <c r="B16" s="204"/>
      <c r="C16" s="545"/>
      <c r="D16" s="547"/>
      <c r="E16" s="205"/>
      <c r="F16" s="205"/>
      <c r="G16" s="205"/>
      <c r="H16" s="205"/>
      <c r="I16" s="205"/>
      <c r="J16" s="206"/>
      <c r="K16" s="96">
        <f>IF(E16="Yes",'Point Schedule'!$O$44,0)</f>
        <v>0</v>
      </c>
      <c r="L16" s="96">
        <f>IF(F16="Yes",'Point Schedule'!$O$45,0)</f>
        <v>0</v>
      </c>
      <c r="M16" s="96">
        <f>IF(G16="Yes",'Point Schedule'!$O$45,0)</f>
        <v>0</v>
      </c>
      <c r="N16" s="96">
        <f>IF(H16="Yes",'Point Schedule'!$O$46,0)</f>
        <v>0</v>
      </c>
      <c r="O16" s="96">
        <f>IF(I16="Yes",'Point Schedule'!$O$47,0)</f>
        <v>0</v>
      </c>
      <c r="P16" s="73">
        <f>IF(J16="Yes",'Point Schedule'!$O$49,0)</f>
        <v>0</v>
      </c>
      <c r="Q16" s="761"/>
      <c r="R16" s="3"/>
      <c r="S16" s="3"/>
      <c r="T16" s="3"/>
      <c r="U16" s="3"/>
      <c r="V16" s="3"/>
      <c r="W16" s="3"/>
      <c r="X16" s="3"/>
      <c r="Y16" s="3"/>
      <c r="Z16" s="3"/>
    </row>
    <row r="17" spans="1:26" ht="20.149999999999999" customHeight="1" thickBot="1" x14ac:dyDescent="0.75">
      <c r="A17" s="387"/>
      <c r="B17" s="212"/>
      <c r="C17" s="850"/>
      <c r="D17" s="851"/>
      <c r="E17" s="209"/>
      <c r="F17" s="209"/>
      <c r="G17" s="209"/>
      <c r="H17" s="209"/>
      <c r="I17" s="209"/>
      <c r="J17" s="213"/>
      <c r="K17" s="96">
        <f>IF(E17="Yes",'Point Schedule'!$O$44,0)</f>
        <v>0</v>
      </c>
      <c r="L17" s="96">
        <f>IF(F17="Yes",'Point Schedule'!$O$45,0)</f>
        <v>0</v>
      </c>
      <c r="M17" s="96">
        <f>IF(G17="Yes",'Point Schedule'!$O$45,0)</f>
        <v>0</v>
      </c>
      <c r="N17" s="96">
        <f>IF(H17="Yes",'Point Schedule'!$O$46,0)</f>
        <v>0</v>
      </c>
      <c r="O17" s="96">
        <f>IF(I17="Yes",'Point Schedule'!$O$47,0)</f>
        <v>0</v>
      </c>
      <c r="P17" s="73">
        <f>IF(J17="Yes",'Point Schedule'!$O$49,0)</f>
        <v>0</v>
      </c>
      <c r="Q17" s="761"/>
      <c r="R17" s="3"/>
      <c r="S17" s="3"/>
      <c r="T17" s="3"/>
      <c r="U17" s="3"/>
      <c r="V17" s="3"/>
      <c r="W17" s="3"/>
      <c r="X17" s="3"/>
      <c r="Y17" s="3"/>
      <c r="Z17" s="3"/>
    </row>
    <row r="18" spans="1:26" ht="30" customHeight="1" thickTop="1" thickBot="1" x14ac:dyDescent="0.75">
      <c r="A18" s="387"/>
      <c r="B18" s="127" t="s">
        <v>133</v>
      </c>
      <c r="C18" s="111">
        <f>SUM(K12:P17)</f>
        <v>0</v>
      </c>
      <c r="D18" s="94"/>
      <c r="E18" s="94"/>
      <c r="F18" s="94"/>
      <c r="G18" s="94"/>
      <c r="H18" s="94"/>
      <c r="I18" s="94"/>
      <c r="J18" s="94"/>
      <c r="K18" s="94"/>
      <c r="L18" s="94"/>
      <c r="M18" s="94"/>
      <c r="N18" s="94"/>
      <c r="O18" s="94"/>
      <c r="P18" s="94"/>
      <c r="Q18" s="761"/>
      <c r="R18" s="3"/>
      <c r="S18" s="3"/>
      <c r="T18" s="3"/>
      <c r="U18" s="3"/>
      <c r="V18" s="3"/>
      <c r="W18" s="3"/>
      <c r="X18" s="3"/>
      <c r="Y18" s="3"/>
      <c r="Z18" s="3"/>
    </row>
    <row r="19" spans="1:26" ht="14.5" thickTop="1" thickBot="1" x14ac:dyDescent="0.75">
      <c r="A19" s="551"/>
      <c r="B19" s="759"/>
      <c r="C19" s="759"/>
      <c r="D19" s="759"/>
      <c r="E19" s="759"/>
      <c r="F19" s="759"/>
      <c r="G19" s="759"/>
      <c r="H19" s="759"/>
      <c r="I19" s="759"/>
      <c r="J19" s="759"/>
      <c r="K19" s="759"/>
      <c r="L19" s="759"/>
      <c r="M19" s="759"/>
      <c r="N19" s="759"/>
      <c r="O19" s="759"/>
      <c r="P19" s="759"/>
      <c r="Q19" s="760"/>
    </row>
    <row r="20" spans="1:26" ht="13.75" thickTop="1" x14ac:dyDescent="0.6"/>
    <row r="21" spans="1:26" x14ac:dyDescent="0.6">
      <c r="N21" s="1"/>
    </row>
    <row r="22" spans="1:26" x14ac:dyDescent="0.6">
      <c r="E22" s="1"/>
    </row>
    <row r="25" spans="1:26" ht="13.5" customHeight="1" x14ac:dyDescent="0.6"/>
    <row r="26" spans="1:26" x14ac:dyDescent="0.6">
      <c r="O26" s="1"/>
    </row>
  </sheetData>
  <sheetProtection algorithmName="SHA-512" hashValue="h2u2K7YzPRYKMRqJAR9YljZgyKMHI2ZbgxHNz1CaUSOBqNDcNFmMnTrvDFltHedY+Cadd73hVbsGcBCFBCisxw==" saltValue="jpdY4JdQcUZ7weTw+8ZiBg==" spinCount="100000" sheet="1" objects="1" scenarios="1"/>
  <mergeCells count="29">
    <mergeCell ref="A1:Q1"/>
    <mergeCell ref="B2:P2"/>
    <mergeCell ref="B3:P3"/>
    <mergeCell ref="A19:Q19"/>
    <mergeCell ref="A2:A18"/>
    <mergeCell ref="Q2:Q18"/>
    <mergeCell ref="O10:O11"/>
    <mergeCell ref="P10:P11"/>
    <mergeCell ref="B10:B11"/>
    <mergeCell ref="K10:K11"/>
    <mergeCell ref="C15:D15"/>
    <mergeCell ref="C16:D16"/>
    <mergeCell ref="C17:D17"/>
    <mergeCell ref="F4:P4"/>
    <mergeCell ref="F5:P5"/>
    <mergeCell ref="C14:D14"/>
    <mergeCell ref="B4:E4"/>
    <mergeCell ref="B5:E5"/>
    <mergeCell ref="B6:E6"/>
    <mergeCell ref="F6:P6"/>
    <mergeCell ref="F7:P7"/>
    <mergeCell ref="C12:D12"/>
    <mergeCell ref="C13:D13"/>
    <mergeCell ref="B7:E7"/>
    <mergeCell ref="L10:L11"/>
    <mergeCell ref="N10:N11"/>
    <mergeCell ref="C10:D11"/>
    <mergeCell ref="M10:M11"/>
    <mergeCell ref="G10:G11"/>
  </mergeCells>
  <phoneticPr fontId="2" type="noConversion"/>
  <dataValidations count="1">
    <dataValidation type="list" allowBlank="1" showInputMessage="1" showErrorMessage="1" sqref="E13:J17" xr:uid="{00000000-0002-0000-0800-000000000000}">
      <formula1>YN</formula1>
    </dataValidation>
  </dataValidations>
  <printOptions horizontalCentered="1" verticalCentered="1"/>
  <pageMargins left="0.25" right="0.25" top="0.25" bottom="0.25" header="0" footer="0"/>
  <pageSetup scale="61" orientation="landscape"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
  <dimension ref="A1:P33"/>
  <sheetViews>
    <sheetView topLeftCell="C3" zoomScaleNormal="100" workbookViewId="0">
      <selection activeCell="H22" sqref="H22"/>
    </sheetView>
  </sheetViews>
  <sheetFormatPr defaultColWidth="15.6796875" defaultRowHeight="13" x14ac:dyDescent="0.6"/>
  <cols>
    <col min="1" max="1" width="2.6796875" customWidth="1"/>
    <col min="2" max="8" width="18.6796875" style="1" customWidth="1"/>
    <col min="9" max="11" width="14.6796875" style="1" customWidth="1"/>
    <col min="12" max="13" width="14.6796875" customWidth="1"/>
    <col min="14" max="15" width="18.08984375" customWidth="1"/>
  </cols>
  <sheetData>
    <row r="1" spans="1:16" ht="14.5" thickTop="1" thickBot="1" x14ac:dyDescent="0.75">
      <c r="A1" s="742"/>
      <c r="B1" s="743"/>
      <c r="C1" s="743"/>
      <c r="D1" s="743"/>
      <c r="E1" s="743"/>
      <c r="F1" s="743"/>
      <c r="G1" s="743"/>
      <c r="H1" s="743"/>
      <c r="I1" s="743"/>
      <c r="J1" s="743"/>
      <c r="K1" s="743"/>
      <c r="L1" s="743"/>
      <c r="M1" s="743"/>
      <c r="N1" s="743"/>
      <c r="O1" s="744"/>
    </row>
    <row r="2" spans="1:16" ht="25.15" customHeight="1" thickTop="1" thickBot="1" x14ac:dyDescent="0.75">
      <c r="A2" s="305"/>
      <c r="B2" s="745" t="s">
        <v>265</v>
      </c>
      <c r="C2" s="746"/>
      <c r="D2" s="746"/>
      <c r="E2" s="746"/>
      <c r="F2" s="746"/>
      <c r="G2" s="746"/>
      <c r="H2" s="746"/>
      <c r="I2" s="746"/>
      <c r="J2" s="746"/>
      <c r="K2" s="746"/>
      <c r="L2" s="746"/>
      <c r="M2" s="875"/>
      <c r="N2" s="23"/>
      <c r="O2" s="304"/>
    </row>
    <row r="3" spans="1:16" ht="14.5" thickTop="1" thickBot="1" x14ac:dyDescent="0.75">
      <c r="A3" s="305"/>
      <c r="B3" s="23"/>
      <c r="C3" s="23"/>
      <c r="D3" s="23"/>
      <c r="E3" s="23"/>
      <c r="F3" s="23"/>
      <c r="G3" s="23"/>
      <c r="H3" s="23"/>
      <c r="I3" s="23"/>
      <c r="J3" s="23"/>
      <c r="K3" s="23"/>
      <c r="L3" s="23"/>
      <c r="M3" s="23"/>
      <c r="N3" s="23"/>
      <c r="O3" s="304"/>
    </row>
    <row r="4" spans="1:16" ht="20.149999999999999" customHeight="1" thickTop="1" x14ac:dyDescent="0.7">
      <c r="A4" s="387"/>
      <c r="B4" s="859" t="s">
        <v>510</v>
      </c>
      <c r="C4" s="753"/>
      <c r="D4" s="754"/>
      <c r="E4" s="859" t="str">
        <f>SUBSTITUTE(Summary!$D$5,,Summary!$D$5)</f>
        <v/>
      </c>
      <c r="F4" s="753"/>
      <c r="G4" s="753"/>
      <c r="H4" s="753"/>
      <c r="I4" s="754"/>
      <c r="J4" s="482" t="s">
        <v>655</v>
      </c>
      <c r="K4" s="453"/>
      <c r="L4" s="453"/>
      <c r="M4" s="483"/>
      <c r="N4" s="18"/>
      <c r="O4" s="19"/>
    </row>
    <row r="5" spans="1:16" ht="20.149999999999999" customHeight="1" x14ac:dyDescent="0.7">
      <c r="A5" s="387"/>
      <c r="B5" s="860" t="s">
        <v>66</v>
      </c>
      <c r="C5" s="768"/>
      <c r="D5" s="769"/>
      <c r="E5" s="860" t="str">
        <f>SUBSTITUTE(Summary!D7,,Summary!D7)</f>
        <v/>
      </c>
      <c r="F5" s="768"/>
      <c r="G5" s="768"/>
      <c r="H5" s="768"/>
      <c r="I5" s="769"/>
      <c r="J5" s="872"/>
      <c r="K5" s="873"/>
      <c r="L5" s="873"/>
      <c r="M5" s="874"/>
      <c r="N5" s="18"/>
      <c r="O5" s="19"/>
    </row>
    <row r="6" spans="1:16" ht="20.149999999999999" customHeight="1" x14ac:dyDescent="0.7">
      <c r="A6" s="387"/>
      <c r="B6" s="860" t="s">
        <v>100</v>
      </c>
      <c r="C6" s="768"/>
      <c r="D6" s="769"/>
      <c r="E6" s="860" t="str">
        <f>SUBSTITUTE(Summary!D8,,Summary!D8)</f>
        <v/>
      </c>
      <c r="F6" s="768"/>
      <c r="G6" s="768"/>
      <c r="H6" s="768"/>
      <c r="I6" s="769"/>
      <c r="J6" s="872"/>
      <c r="K6" s="873"/>
      <c r="L6" s="873"/>
      <c r="M6" s="874"/>
      <c r="N6" s="18"/>
      <c r="O6" s="19"/>
    </row>
    <row r="7" spans="1:16" ht="20.149999999999999" customHeight="1" thickBot="1" x14ac:dyDescent="0.85">
      <c r="A7" s="387"/>
      <c r="B7" s="764" t="s">
        <v>299</v>
      </c>
      <c r="C7" s="765"/>
      <c r="D7" s="771"/>
      <c r="E7" s="764" t="str">
        <f>SUBSTITUTE(Summary!D9,,Summary!D9)</f>
        <v/>
      </c>
      <c r="F7" s="765"/>
      <c r="G7" s="765"/>
      <c r="H7" s="765"/>
      <c r="I7" s="771"/>
      <c r="J7" s="434"/>
      <c r="K7" s="486"/>
      <c r="L7" s="486"/>
      <c r="M7" s="435"/>
      <c r="N7" s="18"/>
      <c r="O7" s="19"/>
    </row>
    <row r="8" spans="1:16" ht="14.5" thickTop="1" thickBot="1" x14ac:dyDescent="0.75">
      <c r="A8" s="387"/>
      <c r="B8" s="23"/>
      <c r="C8" s="23"/>
      <c r="D8" s="23"/>
      <c r="E8" s="23"/>
      <c r="F8" s="23"/>
      <c r="G8" s="23"/>
      <c r="H8" s="23"/>
      <c r="I8" s="23"/>
      <c r="J8" s="23"/>
      <c r="K8" s="23"/>
      <c r="L8" s="18"/>
      <c r="M8" s="18"/>
      <c r="N8" s="18"/>
      <c r="O8" s="19"/>
    </row>
    <row r="9" spans="1:16" s="3" customFormat="1" ht="28.5" customHeight="1" thickTop="1" x14ac:dyDescent="0.6">
      <c r="A9" s="387"/>
      <c r="B9" s="876" t="s">
        <v>10</v>
      </c>
      <c r="C9" s="861" t="s">
        <v>271</v>
      </c>
      <c r="D9" s="862"/>
      <c r="E9" s="490" t="s">
        <v>654</v>
      </c>
      <c r="F9" s="774" t="s">
        <v>276</v>
      </c>
      <c r="G9" s="774" t="s">
        <v>83</v>
      </c>
      <c r="H9" s="774" t="s">
        <v>84</v>
      </c>
      <c r="I9" s="727" t="s">
        <v>657</v>
      </c>
      <c r="J9" s="727" t="s">
        <v>656</v>
      </c>
      <c r="K9" s="727" t="s">
        <v>658</v>
      </c>
      <c r="L9" s="727" t="s">
        <v>659</v>
      </c>
      <c r="M9" s="810" t="s">
        <v>85</v>
      </c>
      <c r="N9" s="810" t="s">
        <v>661</v>
      </c>
      <c r="O9" s="810" t="s">
        <v>662</v>
      </c>
      <c r="P9" s="829"/>
    </row>
    <row r="10" spans="1:16" s="3" customFormat="1" ht="12.75" customHeight="1" x14ac:dyDescent="0.6">
      <c r="A10" s="387"/>
      <c r="B10" s="877"/>
      <c r="C10" s="863"/>
      <c r="D10" s="864"/>
      <c r="E10" s="852"/>
      <c r="F10" s="386"/>
      <c r="G10" s="386"/>
      <c r="H10" s="386"/>
      <c r="I10" s="763"/>
      <c r="J10" s="763"/>
      <c r="K10" s="763"/>
      <c r="L10" s="763"/>
      <c r="M10" s="811"/>
      <c r="N10" s="811"/>
      <c r="O10" s="811"/>
      <c r="P10" s="829"/>
    </row>
    <row r="11" spans="1:16" ht="20.149999999999999" customHeight="1" x14ac:dyDescent="0.7">
      <c r="A11" s="387"/>
      <c r="B11" s="276" t="s">
        <v>573</v>
      </c>
      <c r="C11" s="818" t="s">
        <v>573</v>
      </c>
      <c r="D11" s="819"/>
      <c r="E11" s="278" t="s">
        <v>573</v>
      </c>
      <c r="F11" s="278" t="s">
        <v>574</v>
      </c>
      <c r="G11" s="279" t="s">
        <v>574</v>
      </c>
      <c r="H11" s="279" t="s">
        <v>574</v>
      </c>
      <c r="I11" s="306">
        <f>IF(AND($G11="Derby",$H11="1st"),'Point Schedule'!$L$26,IF(AND($G11="Derby",$H11="2nd"),'Point Schedule'!$L$27,IF(AND($G11="Derby",$H11="3rd"),'Point Schedule'!$L$28,IF(AND($G11="Derby",$H11="4th"),'Point Schedule'!$L$29,IF(AND($G11="Derby",$H11="JAM"),'Point Schedule'!$L$30,0)))))</f>
        <v>0</v>
      </c>
      <c r="J11" s="306">
        <f>IF(AND($G11="Amateur",$H11="1st"),'Point Schedule'!$M$26,IF(AND($G11="Amateur",$H11="2nd"),'Point Schedule'!$M$27,IF(AND($G11="Amateur",$H11="3rd"),'Point Schedule'!$M$28,IF(AND($G11="Amateur",$H11="4th"),'Point Schedule'!$M$29,IF(AND($G11="Amateur",$H11="JAM"),'Point Schedule'!$M$30,0)))))</f>
        <v>0</v>
      </c>
      <c r="K11" s="306">
        <f>IF(AND($G11="Qualifing",$H11="1st"),'Point Schedule'!$N$26,IF(AND($G11="Qualifing",$H11="2nd"),'Point Schedule'!$N$27,IF(AND($G11="Qualifing",$H11="3rd"),'Point Schedule'!$N$28,IF(AND($G11="Qualifing",$H11="4th"),'Point Schedule'!$N$29,IF(AND($G11="Qualifing",$H11="JAM"),'Point Schedule'!$N$30,0)))))</f>
        <v>0</v>
      </c>
      <c r="L11" s="306">
        <f>IF(AND($G11="Open",$H11="1st"),'Point Schedule'!$O$26,IF(AND($G11="Open",$H11="2nd"),'Point Schedule'!$O$27,IF(AND($G11="Open",$H11="3rd"),'Point Schedule'!$O$28,IF(AND($G11="Open",$H11="4th"),'Point Schedule'!$O$29,IF(AND($G11="Open",$H11="JAM"),'Point Schedule'!$O$30,0)))))</f>
        <v>0</v>
      </c>
      <c r="M11" s="307">
        <f>IF($F11="JH Leg", 'Point Schedule'!$L$36, IF($F11="SH Leg", 'Point Schedule'!$M$36, IF($F11="MH Leg", 'Point Schedule'!$N$36,IF($F11="WCX",'Point Schedule'!$P$36, IF($F11="WC", 'Point Schedule'!$O$36,0)))))</f>
        <v>0</v>
      </c>
      <c r="N11" s="307">
        <f>IF($F11="JH Leg", 'Point Schedule'!$L$36, IF($F11="SH Leg", 'Point Schedule'!$M$36, IF($F11="MH Leg", 'Point Schedule'!$N$36,IF($F11="WCX",'Point Schedule'!$P$36, IF($F11="WC", 'Point Schedule'!$O$36,0)))))</f>
        <v>0</v>
      </c>
      <c r="O11" s="307">
        <f>IF($F11="JH Leg", 'Point Schedule'!$L$36, IF($F11="SH Leg", 'Point Schedule'!$M$36, IF($F11="MH Leg", 'Point Schedule'!$N$36,IF($F11="WCX",'Point Schedule'!$P$36, IF($F11="WC", 'Point Schedule'!$O$36,0)))))</f>
        <v>0</v>
      </c>
    </row>
    <row r="12" spans="1:16" ht="20.149999999999999" customHeight="1" x14ac:dyDescent="0.7">
      <c r="A12" s="387"/>
      <c r="B12" s="263">
        <v>38477</v>
      </c>
      <c r="C12" s="855"/>
      <c r="D12" s="856"/>
      <c r="E12" s="308"/>
      <c r="F12" s="282"/>
      <c r="G12" s="264"/>
      <c r="H12" s="264"/>
      <c r="I12" s="306">
        <f>IF(AND($G12="Derby",$H12="1st"),'Point Schedule'!$L$26,IF(AND($G12="Derby",$H12="2nd"),'Point Schedule'!$L$27,IF(AND($G12="Derby",$H12="3rd"),'Point Schedule'!$L$28,IF(AND($G12="Derby",$H12="4th"),'Point Schedule'!$L$29,IF(AND($G12="Derby",$H12="JAM"),'Point Schedule'!$L$30,0)))))</f>
        <v>0</v>
      </c>
      <c r="J12" s="306">
        <f>IF(AND($G12="Amateur",$H12="1st"),'Point Schedule'!$M$26,IF(AND($G12="Amateur",$H12="2nd"),'Point Schedule'!$M$27,IF(AND($G12="Amateur",$H12="3rd"),'Point Schedule'!$M$28,IF(AND($G12="Amateur",$H12="4th"),'Point Schedule'!$M$29,IF(AND($G12="Amateur",$H12="JAM"),'Point Schedule'!$M$30,0)))))</f>
        <v>0</v>
      </c>
      <c r="K12" s="306">
        <f>IF(AND($G12="Qualifing",$H12="1st"),'Point Schedule'!$N$26,IF(AND($G12="Qualifing",$H12="2nd"),'Point Schedule'!$N$27,IF(AND($G12="Qualifing",$H12="3rd"),'Point Schedule'!$N$28,IF(AND($G12="Qualifing",$H12="4th"),'Point Schedule'!$N$29,IF(AND($G12="Qualifing",$H12="JAM"),'Point Schedule'!$N$30,0)))))</f>
        <v>0</v>
      </c>
      <c r="L12" s="306">
        <f>IF(AND($G12="Open",$H12="1st"),'Point Schedule'!$O$26,IF(AND($G12="Open",$H12="2nd"),'Point Schedule'!$O$27,IF(AND($G12="Open",$H12="3rd"),'Point Schedule'!$O$28,IF(AND($G12="Open",$H12="4th"),'Point Schedule'!$O$29,IF(AND($G12="Open",$H12="JAM"),'Point Schedule'!$O$30,0)))))</f>
        <v>0</v>
      </c>
      <c r="M12" s="307">
        <f>IF($F12="JH Leg", 'Point Schedule'!$L$36, IF($F12="SH Leg", 'Point Schedule'!$M$36, IF($F12="MH Leg", 'Point Schedule'!$N$36,IF($F12="WCX",'Point Schedule'!$P$36, IF($F12="WC", 'Point Schedule'!$O$36,0)))))</f>
        <v>0</v>
      </c>
      <c r="N12" s="122">
        <f>IF($E12="AM",SUM($I12:$M12),0)</f>
        <v>0</v>
      </c>
      <c r="O12" s="122">
        <f>IF($E12="Pro",SUM($I12:$M12),0)</f>
        <v>0</v>
      </c>
    </row>
    <row r="13" spans="1:16" ht="20.149999999999999" customHeight="1" x14ac:dyDescent="0.7">
      <c r="A13" s="387"/>
      <c r="B13" s="263"/>
      <c r="C13" s="855"/>
      <c r="D13" s="856"/>
      <c r="E13" s="308"/>
      <c r="F13" s="282"/>
      <c r="G13" s="264"/>
      <c r="H13" s="264"/>
      <c r="I13" s="306">
        <f>IF(AND($G13="Derby",$H13="1st"),'Point Schedule'!$L$26,IF(AND($G13="Derby",$H13="2nd"),'Point Schedule'!$L$27,IF(AND($G13="Derby",$H13="3rd"),'Point Schedule'!$L$28,IF(AND($G13="Derby",$H13="4th"),'Point Schedule'!$L$29,IF(AND($G13="Derby",$H13="JAM"),'Point Schedule'!$L$30,0)))))</f>
        <v>0</v>
      </c>
      <c r="J13" s="306">
        <f>IF(AND($G13="Amateur",$H13="1st"),'Point Schedule'!$M$26,IF(AND($G13="Amateur",$H13="2nd"),'Point Schedule'!$M$27,IF(AND($G13="Amateur",$H13="3rd"),'Point Schedule'!$M$28,IF(AND($G13="Amateur",$H13="4th"),'Point Schedule'!$M$29,IF(AND($G13="Amateur",$H13="JAM"),'Point Schedule'!$M$30,0)))))</f>
        <v>0</v>
      </c>
      <c r="K13" s="306">
        <f>IF(AND($G13="Qualifing",$H13="1st"),'Point Schedule'!$N$26,IF(AND($G13="Qualifing",$H13="2nd"),'Point Schedule'!$N$27,IF(AND($G13="Qualifing",$H13="3rd"),'Point Schedule'!$N$28,IF(AND($G13="Qualifing",$H13="4th"),'Point Schedule'!$N$29,IF(AND($G13="Qualifing",$H13="JAM"),'Point Schedule'!$N$30,0)))))</f>
        <v>0</v>
      </c>
      <c r="L13" s="306">
        <f>IF(AND($G13="Open",$H13="1st"),'Point Schedule'!$O$26,IF(AND($G13="Open",$H13="2nd"),'Point Schedule'!$O$27,IF(AND($G13="Open",$H13="3rd"),'Point Schedule'!$O$28,IF(AND($G13="Open",$H13="4th"),'Point Schedule'!$O$29,IF(AND($G13="Open",$H13="JAM"),'Point Schedule'!$O$30,0)))))</f>
        <v>0</v>
      </c>
      <c r="M13" s="307">
        <f>IF($F13="JH Leg", 'Point Schedule'!$L$36, IF($F13="SH Leg", 'Point Schedule'!$M$36, IF($F13="MH Leg", 'Point Schedule'!$N$36,IF($F13="WCX",'Point Schedule'!$P$36, IF($F13="WC", 'Point Schedule'!$O$36,0)))))</f>
        <v>0</v>
      </c>
      <c r="N13" s="122">
        <f t="shared" ref="N13:N30" si="0">IF($E13="AM",SUM($I13:$M13),0)</f>
        <v>0</v>
      </c>
      <c r="O13" s="122">
        <f t="shared" ref="O13:O30" si="1">IF($E13="Pro",SUM($I13:$M13),0)</f>
        <v>0</v>
      </c>
    </row>
    <row r="14" spans="1:16" ht="20.149999999999999" customHeight="1" x14ac:dyDescent="0.7">
      <c r="A14" s="387"/>
      <c r="B14" s="263"/>
      <c r="C14" s="855"/>
      <c r="D14" s="856"/>
      <c r="E14" s="308"/>
      <c r="F14" s="282"/>
      <c r="G14" s="264"/>
      <c r="H14" s="264"/>
      <c r="I14" s="306">
        <f>IF(AND($G14="Derby",$H14="1st"),'Point Schedule'!$L$26,IF(AND($G14="Derby",$H14="2nd"),'Point Schedule'!$L$27,IF(AND($G14="Derby",$H14="3rd"),'Point Schedule'!$L$28,IF(AND($G14="Derby",$H14="4th"),'Point Schedule'!$L$29,IF(AND($G14="Derby",$H14="JAM"),'Point Schedule'!$L$30,0)))))</f>
        <v>0</v>
      </c>
      <c r="J14" s="306">
        <f>IF(AND($G14="Amateur",$H14="1st"),'Point Schedule'!$M$26,IF(AND($G14="Amateur",$H14="2nd"),'Point Schedule'!$M$27,IF(AND($G14="Amateur",$H14="3rd"),'Point Schedule'!$M$28,IF(AND($G14="Amateur",$H14="4th"),'Point Schedule'!$M$29,IF(AND($G14="Amateur",$H14="JAM"),'Point Schedule'!$M$30,0)))))</f>
        <v>0</v>
      </c>
      <c r="K14" s="306">
        <f>IF(AND($G14="Qualifing",$H14="1st"),'Point Schedule'!$N$26,IF(AND($G14="Qualifing",$H14="2nd"),'Point Schedule'!$N$27,IF(AND($G14="Qualifing",$H14="3rd"),'Point Schedule'!$N$28,IF(AND($G14="Qualifing",$H14="4th"),'Point Schedule'!$N$29,IF(AND($G14="Qualifing",$H14="JAM"),'Point Schedule'!$N$30,0)))))</f>
        <v>0</v>
      </c>
      <c r="L14" s="306">
        <f>IF(AND($G14="Open",$H14="1st"),'Point Schedule'!$O$26,IF(AND($G14="Open",$H14="2nd"),'Point Schedule'!$O$27,IF(AND($G14="Open",$H14="3rd"),'Point Schedule'!$O$28,IF(AND($G14="Open",$H14="4th"),'Point Schedule'!$O$29,IF(AND($G14="Open",$H14="JAM"),'Point Schedule'!$O$30,0)))))</f>
        <v>0</v>
      </c>
      <c r="M14" s="307">
        <f>IF($F14="JH Leg", 'Point Schedule'!$L$36, IF($F14="SH Leg", 'Point Schedule'!$M$36, IF($F14="MH Leg", 'Point Schedule'!$N$36,IF($F14="WCX",'Point Schedule'!$P$36, IF($F14="WC", 'Point Schedule'!$O$36,0)))))</f>
        <v>0</v>
      </c>
      <c r="N14" s="122">
        <f t="shared" si="0"/>
        <v>0</v>
      </c>
      <c r="O14" s="122">
        <f t="shared" si="1"/>
        <v>0</v>
      </c>
    </row>
    <row r="15" spans="1:16" ht="20.149999999999999" customHeight="1" x14ac:dyDescent="0.7">
      <c r="A15" s="387"/>
      <c r="B15" s="263"/>
      <c r="C15" s="855"/>
      <c r="D15" s="856"/>
      <c r="E15" s="308"/>
      <c r="F15" s="282"/>
      <c r="G15" s="264"/>
      <c r="H15" s="264"/>
      <c r="I15" s="306">
        <f>IF(AND($G15="Derby",$H15="1st"),'Point Schedule'!$L$26,IF(AND($G15="Derby",$H15="2nd"),'Point Schedule'!$L$27,IF(AND($G15="Derby",$H15="3rd"),'Point Schedule'!$L$28,IF(AND($G15="Derby",$H15="4th"),'Point Schedule'!$L$29,IF(AND($G15="Derby",$H15="JAM"),'Point Schedule'!$L$30,0)))))</f>
        <v>0</v>
      </c>
      <c r="J15" s="306">
        <f>IF(AND($G15="Amateur",$H15="1st"),'Point Schedule'!$M$26,IF(AND($G15="Amateur",$H15="2nd"),'Point Schedule'!$M$27,IF(AND($G15="Amateur",$H15="3rd"),'Point Schedule'!$M$28,IF(AND($G15="Amateur",$H15="4th"),'Point Schedule'!$M$29,IF(AND($G15="Amateur",$H15="JAM"),'Point Schedule'!$M$30,0)))))</f>
        <v>0</v>
      </c>
      <c r="K15" s="306">
        <f>IF(AND($G15="Qualifing",$H15="1st"),'Point Schedule'!$N$26,IF(AND($G15="Qualifing",$H15="2nd"),'Point Schedule'!$N$27,IF(AND($G15="Qualifing",$H15="3rd"),'Point Schedule'!$N$28,IF(AND($G15="Qualifing",$H15="4th"),'Point Schedule'!$N$29,IF(AND($G15="Qualifing",$H15="JAM"),'Point Schedule'!$N$30,0)))))</f>
        <v>0</v>
      </c>
      <c r="L15" s="306">
        <f>IF(AND($G15="Open",$H15="1st"),'Point Schedule'!$O$26,IF(AND($G15="Open",$H15="2nd"),'Point Schedule'!$O$27,IF(AND($G15="Open",$H15="3rd"),'Point Schedule'!$O$28,IF(AND($G15="Open",$H15="4th"),'Point Schedule'!$O$29,IF(AND($G15="Open",$H15="JAM"),'Point Schedule'!$O$30,0)))))</f>
        <v>0</v>
      </c>
      <c r="M15" s="307">
        <f>IF($F15="JH Leg", 'Point Schedule'!$L$36, IF($F15="SH Leg", 'Point Schedule'!$M$36, IF($F15="MH Leg", 'Point Schedule'!$N$36,IF($F15="WCX",'Point Schedule'!$P$36, IF($F15="WC", 'Point Schedule'!$O$36,0)))))</f>
        <v>0</v>
      </c>
      <c r="N15" s="122">
        <f t="shared" si="0"/>
        <v>0</v>
      </c>
      <c r="O15" s="122">
        <f t="shared" si="1"/>
        <v>0</v>
      </c>
    </row>
    <row r="16" spans="1:16" ht="20.149999999999999" customHeight="1" x14ac:dyDescent="0.7">
      <c r="A16" s="387"/>
      <c r="B16" s="263"/>
      <c r="C16" s="855"/>
      <c r="D16" s="856"/>
      <c r="E16" s="308"/>
      <c r="F16" s="282"/>
      <c r="G16" s="264"/>
      <c r="H16" s="264"/>
      <c r="I16" s="306">
        <f>IF(AND($G16="Derby",$H16="1st"),'Point Schedule'!$L$26,IF(AND($G16="Derby",$H16="2nd"),'Point Schedule'!$L$27,IF(AND($G16="Derby",$H16="3rd"),'Point Schedule'!$L$28,IF(AND($G16="Derby",$H16="4th"),'Point Schedule'!$L$29,IF(AND($G16="Derby",$H16="JAM"),'Point Schedule'!$L$30,0)))))</f>
        <v>0</v>
      </c>
      <c r="J16" s="306">
        <f>IF(AND($G16="Amateur",$H16="1st"),'Point Schedule'!$M$26,IF(AND($G16="Amateur",$H16="2nd"),'Point Schedule'!$M$27,IF(AND($G16="Amateur",$H16="3rd"),'Point Schedule'!$M$28,IF(AND($G16="Amateur",$H16="4th"),'Point Schedule'!$M$29,IF(AND($G16="Amateur",$H16="JAM"),'Point Schedule'!$M$30,0)))))</f>
        <v>0</v>
      </c>
      <c r="K16" s="306">
        <f>IF(AND($G16="Qualifing",$H16="1st"),'Point Schedule'!$N$26,IF(AND($G16="Qualifing",$H16="2nd"),'Point Schedule'!$N$27,IF(AND($G16="Qualifing",$H16="3rd"),'Point Schedule'!$N$28,IF(AND($G16="Qualifing",$H16="4th"),'Point Schedule'!$N$29,IF(AND($G16="Qualifing",$H16="JAM"),'Point Schedule'!$N$30,0)))))</f>
        <v>0</v>
      </c>
      <c r="L16" s="306">
        <f>IF(AND($G16="Open",$H16="1st"),'Point Schedule'!$O$26,IF(AND($G16="Open",$H16="2nd"),'Point Schedule'!$O$27,IF(AND($G16="Open",$H16="3rd"),'Point Schedule'!$O$28,IF(AND($G16="Open",$H16="4th"),'Point Schedule'!$O$29,IF(AND($G16="Open",$H16="JAM"),'Point Schedule'!$O$30,0)))))</f>
        <v>0</v>
      </c>
      <c r="M16" s="307">
        <f>IF($F16="JH Leg", 'Point Schedule'!$L$36, IF($F16="SH Leg", 'Point Schedule'!$M$36, IF($F16="MH Leg", 'Point Schedule'!$N$36,IF($F16="WCX",'Point Schedule'!$P$36, IF($F16="WC", 'Point Schedule'!$O$36,0)))))</f>
        <v>0</v>
      </c>
      <c r="N16" s="122">
        <f t="shared" si="0"/>
        <v>0</v>
      </c>
      <c r="O16" s="122">
        <f t="shared" si="1"/>
        <v>0</v>
      </c>
    </row>
    <row r="17" spans="1:15" ht="20.149999999999999" customHeight="1" x14ac:dyDescent="0.7">
      <c r="A17" s="387"/>
      <c r="B17" s="263"/>
      <c r="C17" s="855"/>
      <c r="D17" s="856"/>
      <c r="E17" s="308"/>
      <c r="F17" s="282"/>
      <c r="G17" s="264"/>
      <c r="H17" s="264"/>
      <c r="I17" s="306">
        <f>IF(AND($G17="Derby",$H17="1st"),'Point Schedule'!$L$26,IF(AND($G17="Derby",$H17="2nd"),'Point Schedule'!$L$27,IF(AND($G17="Derby",$H17="3rd"),'Point Schedule'!$L$28,IF(AND($G17="Derby",$H17="4th"),'Point Schedule'!$L$29,IF(AND($G17="Derby",$H17="JAM"),'Point Schedule'!$L$30,0)))))</f>
        <v>0</v>
      </c>
      <c r="J17" s="306">
        <f>IF(AND($G17="Amateur",$H17="1st"),'Point Schedule'!$M$26,IF(AND($G17="Amateur",$H17="2nd"),'Point Schedule'!$M$27,IF(AND($G17="Amateur",$H17="3rd"),'Point Schedule'!$M$28,IF(AND($G17="Amateur",$H17="4th"),'Point Schedule'!$M$29,IF(AND($G17="Amateur",$H17="JAM"),'Point Schedule'!$M$30,0)))))</f>
        <v>0</v>
      </c>
      <c r="K17" s="306">
        <f>IF(AND($G17="Qualifing",$H17="1st"),'Point Schedule'!$N$26,IF(AND($G17="Qualifing",$H17="2nd"),'Point Schedule'!$N$27,IF(AND($G17="Qualifing",$H17="3rd"),'Point Schedule'!$N$28,IF(AND($G17="Qualifing",$H17="4th"),'Point Schedule'!$N$29,IF(AND($G17="Qualifing",$H17="JAM"),'Point Schedule'!$N$30,0)))))</f>
        <v>0</v>
      </c>
      <c r="L17" s="306">
        <f>IF(AND($G17="Open",$H17="1st"),'Point Schedule'!$O$26,IF(AND($G17="Open",$H17="2nd"),'Point Schedule'!$O$27,IF(AND($G17="Open",$H17="3rd"),'Point Schedule'!$O$28,IF(AND($G17="Open",$H17="4th"),'Point Schedule'!$O$29,IF(AND($G17="Open",$H17="JAM"),'Point Schedule'!$O$30,0)))))</f>
        <v>0</v>
      </c>
      <c r="M17" s="307">
        <f>IF($F17="JH Leg", 'Point Schedule'!$L$36, IF($F17="SH Leg", 'Point Schedule'!$M$36, IF($F17="MH Leg", 'Point Schedule'!$N$36,IF($F17="WCX",'Point Schedule'!$P$36, IF($F17="WC", 'Point Schedule'!$O$36,0)))))</f>
        <v>0</v>
      </c>
      <c r="N17" s="122">
        <f t="shared" si="0"/>
        <v>0</v>
      </c>
      <c r="O17" s="122">
        <f t="shared" si="1"/>
        <v>0</v>
      </c>
    </row>
    <row r="18" spans="1:15" ht="20.149999999999999" customHeight="1" x14ac:dyDescent="0.7">
      <c r="A18" s="387"/>
      <c r="B18" s="263"/>
      <c r="C18" s="855"/>
      <c r="D18" s="856"/>
      <c r="E18" s="308"/>
      <c r="F18" s="282"/>
      <c r="G18" s="264"/>
      <c r="H18" s="264"/>
      <c r="I18" s="306">
        <f>IF(AND($G18="Derby",$H18="1st"),'Point Schedule'!$L$26,IF(AND($G18="Derby",$H18="2nd"),'Point Schedule'!$L$27,IF(AND($G18="Derby",$H18="3rd"),'Point Schedule'!$L$28,IF(AND($G18="Derby",$H18="4th"),'Point Schedule'!$L$29,IF(AND($G18="Derby",$H18="JAM"),'Point Schedule'!$L$30,0)))))</f>
        <v>0</v>
      </c>
      <c r="J18" s="306">
        <f>IF(AND($G18="Amateur",$H18="1st"),'Point Schedule'!$M$26,IF(AND($G18="Amateur",$H18="2nd"),'Point Schedule'!$M$27,IF(AND($G18="Amateur",$H18="3rd"),'Point Schedule'!$M$28,IF(AND($G18="Amateur",$H18="4th"),'Point Schedule'!$M$29,IF(AND($G18="Amateur",$H18="JAM"),'Point Schedule'!$M$30,0)))))</f>
        <v>0</v>
      </c>
      <c r="K18" s="306">
        <f>IF(AND($G18="Qualifing",$H18="1st"),'Point Schedule'!$N$26,IF(AND($G18="Qualifing",$H18="2nd"),'Point Schedule'!$N$27,IF(AND($G18="Qualifing",$H18="3rd"),'Point Schedule'!$N$28,IF(AND($G18="Qualifing",$H18="4th"),'Point Schedule'!$N$29,IF(AND($G18="Qualifing",$H18="JAM"),'Point Schedule'!$N$30,0)))))</f>
        <v>0</v>
      </c>
      <c r="L18" s="306">
        <f>IF(AND($G18="Open",$H18="1st"),'Point Schedule'!$O$26,IF(AND($G18="Open",$H18="2nd"),'Point Schedule'!$O$27,IF(AND($G18="Open",$H18="3rd"),'Point Schedule'!$O$28,IF(AND($G18="Open",$H18="4th"),'Point Schedule'!$O$29,IF(AND($G18="Open",$H18="JAM"),'Point Schedule'!$O$30,0)))))</f>
        <v>0</v>
      </c>
      <c r="M18" s="307">
        <f>IF($F18="JH Leg", 'Point Schedule'!$L$36, IF($F18="SH Leg", 'Point Schedule'!$M$36, IF($F18="MH Leg", 'Point Schedule'!$N$36,IF($F18="WCX",'Point Schedule'!$P$36, IF($F18="WC", 'Point Schedule'!$O$36,0)))))</f>
        <v>0</v>
      </c>
      <c r="N18" s="122">
        <f t="shared" si="0"/>
        <v>0</v>
      </c>
      <c r="O18" s="122">
        <f t="shared" si="1"/>
        <v>0</v>
      </c>
    </row>
    <row r="19" spans="1:15" ht="20.149999999999999" customHeight="1" x14ac:dyDescent="0.7">
      <c r="A19" s="387"/>
      <c r="B19" s="263"/>
      <c r="C19" s="855"/>
      <c r="D19" s="856"/>
      <c r="E19" s="308"/>
      <c r="F19" s="282"/>
      <c r="G19" s="264"/>
      <c r="H19" s="264"/>
      <c r="I19" s="306">
        <f>IF(AND($G19="Derby",$H19="1st"),'Point Schedule'!$L$26,IF(AND($G19="Derby",$H19="2nd"),'Point Schedule'!$L$27,IF(AND($G19="Derby",$H19="3rd"),'Point Schedule'!$L$28,IF(AND($G19="Derby",$H19="4th"),'Point Schedule'!$L$29,IF(AND($G19="Derby",$H19="JAM"),'Point Schedule'!$L$30,0)))))</f>
        <v>0</v>
      </c>
      <c r="J19" s="306">
        <f>IF(AND($G19="Amateur",$H19="1st"),'Point Schedule'!$M$26,IF(AND($G19="Amateur",$H19="2nd"),'Point Schedule'!$M$27,IF(AND($G19="Amateur",$H19="3rd"),'Point Schedule'!$M$28,IF(AND($G19="Amateur",$H19="4th"),'Point Schedule'!$M$29,IF(AND($G19="Amateur",$H19="JAM"),'Point Schedule'!$M$30,0)))))</f>
        <v>0</v>
      </c>
      <c r="K19" s="306">
        <f>IF(AND($G19="Qualifing",$H19="1st"),'Point Schedule'!$N$26,IF(AND($G19="Qualifing",$H19="2nd"),'Point Schedule'!$N$27,IF(AND($G19="Qualifing",$H19="3rd"),'Point Schedule'!$N$28,IF(AND($G19="Qualifing",$H19="4th"),'Point Schedule'!$N$29,IF(AND($G19="Qualifing",$H19="JAM"),'Point Schedule'!$N$30,0)))))</f>
        <v>0</v>
      </c>
      <c r="L19" s="306">
        <f>IF(AND($G19="Open",$H19="1st"),'Point Schedule'!$O$26,IF(AND($G19="Open",$H19="2nd"),'Point Schedule'!$O$27,IF(AND($G19="Open",$H19="3rd"),'Point Schedule'!$O$28,IF(AND($G19="Open",$H19="4th"),'Point Schedule'!$O$29,IF(AND($G19="Open",$H19="JAM"),'Point Schedule'!$O$30,0)))))</f>
        <v>0</v>
      </c>
      <c r="M19" s="307">
        <f>IF($F19="JH Leg", 'Point Schedule'!$L$36, IF($F19="SH Leg", 'Point Schedule'!$M$36, IF($F19="MH Leg", 'Point Schedule'!$N$36,IF($F19="WCX",'Point Schedule'!$P$36, IF($F19="WC", 'Point Schedule'!$O$36,0)))))</f>
        <v>0</v>
      </c>
      <c r="N19" s="122">
        <f t="shared" si="0"/>
        <v>0</v>
      </c>
      <c r="O19" s="122">
        <f t="shared" si="1"/>
        <v>0</v>
      </c>
    </row>
    <row r="20" spans="1:15" ht="20.149999999999999" customHeight="1" x14ac:dyDescent="0.7">
      <c r="A20" s="387"/>
      <c r="B20" s="263"/>
      <c r="C20" s="855"/>
      <c r="D20" s="856"/>
      <c r="E20" s="308"/>
      <c r="F20" s="282"/>
      <c r="G20" s="264"/>
      <c r="H20" s="264"/>
      <c r="I20" s="306">
        <f>IF(AND($G20="Derby",$H20="1st"),'Point Schedule'!$L$26,IF(AND($G20="Derby",$H20="2nd"),'Point Schedule'!$L$27,IF(AND($G20="Derby",$H20="3rd"),'Point Schedule'!$L$28,IF(AND($G20="Derby",$H20="4th"),'Point Schedule'!$L$29,IF(AND($G20="Derby",$H20="JAM"),'Point Schedule'!$L$30,0)))))</f>
        <v>0</v>
      </c>
      <c r="J20" s="306">
        <f>IF(AND($G20="Amateur",$H20="1st"),'Point Schedule'!$M$26,IF(AND($G20="Amateur",$H20="2nd"),'Point Schedule'!$M$27,IF(AND($G20="Amateur",$H20="3rd"),'Point Schedule'!$M$28,IF(AND($G20="Amateur",$H20="4th"),'Point Schedule'!$M$29,IF(AND($G20="Amateur",$H20="JAM"),'Point Schedule'!$M$30,0)))))</f>
        <v>0</v>
      </c>
      <c r="K20" s="306">
        <f>IF(AND($G20="Qualifing",$H20="1st"),'Point Schedule'!$N$26,IF(AND($G20="Qualifing",$H20="2nd"),'Point Schedule'!$N$27,IF(AND($G20="Qualifing",$H20="3rd"),'Point Schedule'!$N$28,IF(AND($G20="Qualifing",$H20="4th"),'Point Schedule'!$N$29,IF(AND($G20="Qualifing",$H20="JAM"),'Point Schedule'!$N$30,0)))))</f>
        <v>0</v>
      </c>
      <c r="L20" s="306">
        <f>IF(AND($G20="Open",$H20="1st"),'Point Schedule'!$O$26,IF(AND($G20="Open",$H20="2nd"),'Point Schedule'!$O$27,IF(AND($G20="Open",$H20="3rd"),'Point Schedule'!$O$28,IF(AND($G20="Open",$H20="4th"),'Point Schedule'!$O$29,IF(AND($G20="Open",$H20="JAM"),'Point Schedule'!$O$30,0)))))</f>
        <v>0</v>
      </c>
      <c r="M20" s="307">
        <f>IF($F20="JH Leg", 'Point Schedule'!$L$36, IF($F20="SH Leg", 'Point Schedule'!$M$36, IF($F20="MH Leg", 'Point Schedule'!$N$36,IF($F20="WCX",'Point Schedule'!$P$36, IF($F20="WC", 'Point Schedule'!$O$36,0)))))</f>
        <v>0</v>
      </c>
      <c r="N20" s="122">
        <f t="shared" si="0"/>
        <v>0</v>
      </c>
      <c r="O20" s="122">
        <f t="shared" si="1"/>
        <v>0</v>
      </c>
    </row>
    <row r="21" spans="1:15" ht="20.149999999999999" customHeight="1" x14ac:dyDescent="0.7">
      <c r="A21" s="387"/>
      <c r="B21" s="263"/>
      <c r="C21" s="855"/>
      <c r="D21" s="856"/>
      <c r="E21" s="308"/>
      <c r="F21" s="282"/>
      <c r="G21" s="264"/>
      <c r="H21" s="264"/>
      <c r="I21" s="306">
        <f>IF(AND($G21="Derby",$H21="1st"),'Point Schedule'!$L$26,IF(AND($G21="Derby",$H21="2nd"),'Point Schedule'!$L$27,IF(AND($G21="Derby",$H21="3rd"),'Point Schedule'!$L$28,IF(AND($G21="Derby",$H21="4th"),'Point Schedule'!$L$29,IF(AND($G21="Derby",$H21="JAM"),'Point Schedule'!$L$30,0)))))</f>
        <v>0</v>
      </c>
      <c r="J21" s="306">
        <f>IF(AND($G21="Amateur",$H21="1st"),'Point Schedule'!$M$26,IF(AND($G21="Amateur",$H21="2nd"),'Point Schedule'!$M$27,IF(AND($G21="Amateur",$H21="3rd"),'Point Schedule'!$M$28,IF(AND($G21="Amateur",$H21="4th"),'Point Schedule'!$M$29,IF(AND($G21="Amateur",$H21="JAM"),'Point Schedule'!$M$30,0)))))</f>
        <v>0</v>
      </c>
      <c r="K21" s="306">
        <f>IF(AND($G21="Qualifing",$H21="1st"),'Point Schedule'!$N$26,IF(AND($G21="Qualifing",$H21="2nd"),'Point Schedule'!$N$27,IF(AND($G21="Qualifing",$H21="3rd"),'Point Schedule'!$N$28,IF(AND($G21="Qualifing",$H21="4th"),'Point Schedule'!$N$29,IF(AND($G21="Qualifing",$H21="JAM"),'Point Schedule'!$N$30,0)))))</f>
        <v>0</v>
      </c>
      <c r="L21" s="306">
        <f>IF(AND($G21="Open",$H21="1st"),'Point Schedule'!$O$26,IF(AND($G21="Open",$H21="2nd"),'Point Schedule'!$O$27,IF(AND($G21="Open",$H21="3rd"),'Point Schedule'!$O$28,IF(AND($G21="Open",$H21="4th"),'Point Schedule'!$O$29,IF(AND($G21="Open",$H21="JAM"),'Point Schedule'!$O$30,0)))))</f>
        <v>0</v>
      </c>
      <c r="M21" s="307">
        <f>IF($F21="JH Leg", 'Point Schedule'!$L$36, IF($F21="SH Leg", 'Point Schedule'!$M$36, IF($F21="MH Leg", 'Point Schedule'!$N$36,IF($F21="WCX",'Point Schedule'!$P$36, IF($F21="WC", 'Point Schedule'!$O$36,0)))))</f>
        <v>0</v>
      </c>
      <c r="N21" s="122">
        <f t="shared" si="0"/>
        <v>0</v>
      </c>
      <c r="O21" s="122">
        <f t="shared" si="1"/>
        <v>0</v>
      </c>
    </row>
    <row r="22" spans="1:15" ht="20.149999999999999" customHeight="1" x14ac:dyDescent="0.7">
      <c r="A22" s="387"/>
      <c r="B22" s="263"/>
      <c r="C22" s="855"/>
      <c r="D22" s="856"/>
      <c r="E22" s="308"/>
      <c r="F22" s="282"/>
      <c r="G22" s="264"/>
      <c r="H22" s="264"/>
      <c r="I22" s="306">
        <f>IF(AND($G22="Derby",$H22="1st"),'Point Schedule'!$L$26,IF(AND($G22="Derby",$H22="2nd"),'Point Schedule'!$L$27,IF(AND($G22="Derby",$H22="3rd"),'Point Schedule'!$L$28,IF(AND($G22="Derby",$H22="4th"),'Point Schedule'!$L$29,IF(AND($G22="Derby",$H22="JAM"),'Point Schedule'!$L$30,0)))))</f>
        <v>0</v>
      </c>
      <c r="J22" s="306">
        <f>IF(AND($G22="Amateur",$H22="1st"),'Point Schedule'!$M$26,IF(AND($G22="Amateur",$H22="2nd"),'Point Schedule'!$M$27,IF(AND($G22="Amateur",$H22="3rd"),'Point Schedule'!$M$28,IF(AND($G22="Amateur",$H22="4th"),'Point Schedule'!$M$29,IF(AND($G22="Amateur",$H22="JAM"),'Point Schedule'!$M$30,0)))))</f>
        <v>0</v>
      </c>
      <c r="K22" s="306">
        <f>IF(AND($G22="Qualifing",$H22="1st"),'Point Schedule'!$N$26,IF(AND($G22="Qualifing",$H22="2nd"),'Point Schedule'!$N$27,IF(AND($G22="Qualifing",$H22="3rd"),'Point Schedule'!$N$28,IF(AND($G22="Qualifing",$H22="4th"),'Point Schedule'!$N$29,IF(AND($G22="Qualifing",$H22="JAM"),'Point Schedule'!$N$30,0)))))</f>
        <v>0</v>
      </c>
      <c r="L22" s="306">
        <f>IF(AND($G22="Open",$H22="1st"),'Point Schedule'!$O$26,IF(AND($G22="Open",$H22="2nd"),'Point Schedule'!$O$27,IF(AND($G22="Open",$H22="3rd"),'Point Schedule'!$O$28,IF(AND($G22="Open",$H22="4th"),'Point Schedule'!$O$29,IF(AND($G22="Open",$H22="JAM"),'Point Schedule'!$O$30,0)))))</f>
        <v>0</v>
      </c>
      <c r="M22" s="307">
        <f>IF($F22="JH Leg", 'Point Schedule'!$L$36, IF($F22="SH Leg", 'Point Schedule'!$M$36, IF($F22="MH Leg", 'Point Schedule'!$N$36,IF($F22="WCX",'Point Schedule'!$P$36, IF($F22="WC", 'Point Schedule'!$O$36,0)))))</f>
        <v>0</v>
      </c>
      <c r="N22" s="122">
        <f t="shared" si="0"/>
        <v>0</v>
      </c>
      <c r="O22" s="122">
        <f t="shared" si="1"/>
        <v>0</v>
      </c>
    </row>
    <row r="23" spans="1:15" ht="20.149999999999999" customHeight="1" x14ac:dyDescent="0.7">
      <c r="A23" s="387"/>
      <c r="B23" s="263"/>
      <c r="C23" s="855"/>
      <c r="D23" s="856"/>
      <c r="E23" s="308"/>
      <c r="F23" s="282"/>
      <c r="G23" s="264"/>
      <c r="H23" s="264"/>
      <c r="I23" s="306">
        <f>IF(AND($G23="Derby",$H23="1st"),'Point Schedule'!$L$26,IF(AND($G23="Derby",$H23="2nd"),'Point Schedule'!$L$27,IF(AND($G23="Derby",$H23="3rd"),'Point Schedule'!$L$28,IF(AND($G23="Derby",$H23="4th"),'Point Schedule'!$L$29,IF(AND($G23="Derby",$H23="JAM"),'Point Schedule'!$L$30,0)))))</f>
        <v>0</v>
      </c>
      <c r="J23" s="306">
        <f>IF(AND($G23="Amateur",$H23="1st"),'Point Schedule'!$M$26,IF(AND($G23="Amateur",$H23="2nd"),'Point Schedule'!$M$27,IF(AND($G23="Amateur",$H23="3rd"),'Point Schedule'!$M$28,IF(AND($G23="Amateur",$H23="4th"),'Point Schedule'!$M$29,IF(AND($G23="Amateur",$H23="JAM"),'Point Schedule'!$M$30,0)))))</f>
        <v>0</v>
      </c>
      <c r="K23" s="306">
        <f>IF(AND($G23="Qualifing",$H23="1st"),'Point Schedule'!$N$26,IF(AND($G23="Qualifing",$H23="2nd"),'Point Schedule'!$N$27,IF(AND($G23="Qualifing",$H23="3rd"),'Point Schedule'!$N$28,IF(AND($G23="Qualifing",$H23="4th"),'Point Schedule'!$N$29,IF(AND($G23="Qualifing",$H23="JAM"),'Point Schedule'!$N$30,0)))))</f>
        <v>0</v>
      </c>
      <c r="L23" s="306">
        <f>IF(AND($G23="Open",$H23="1st"),'Point Schedule'!$O$26,IF(AND($G23="Open",$H23="2nd"),'Point Schedule'!$O$27,IF(AND($G23="Open",$H23="3rd"),'Point Schedule'!$O$28,IF(AND($G23="Open",$H23="4th"),'Point Schedule'!$O$29,IF(AND($G23="Open",$H23="JAM"),'Point Schedule'!$O$30,0)))))</f>
        <v>0</v>
      </c>
      <c r="M23" s="307">
        <f>IF($F23="JH Leg", 'Point Schedule'!$L$36, IF($F23="SH Leg", 'Point Schedule'!$M$36, IF($F23="MH Leg", 'Point Schedule'!$N$36,IF($F23="WCX",'Point Schedule'!$P$36, IF($F23="WC", 'Point Schedule'!$O$36,0)))))</f>
        <v>0</v>
      </c>
      <c r="N23" s="122">
        <f t="shared" si="0"/>
        <v>0</v>
      </c>
      <c r="O23" s="122">
        <f t="shared" si="1"/>
        <v>0</v>
      </c>
    </row>
    <row r="24" spans="1:15" ht="20.149999999999999" customHeight="1" x14ac:dyDescent="0.7">
      <c r="A24" s="387"/>
      <c r="B24" s="263"/>
      <c r="C24" s="855"/>
      <c r="D24" s="856"/>
      <c r="E24" s="308"/>
      <c r="F24" s="282"/>
      <c r="G24" s="264"/>
      <c r="H24" s="264"/>
      <c r="I24" s="306">
        <f>IF(AND($G24="Derby",$H24="1st"),'Point Schedule'!$L$26,IF(AND($G24="Derby",$H24="2nd"),'Point Schedule'!$L$27,IF(AND($G24="Derby",$H24="3rd"),'Point Schedule'!$L$28,IF(AND($G24="Derby",$H24="4th"),'Point Schedule'!$L$29,IF(AND($G24="Derby",$H24="JAM"),'Point Schedule'!$L$30,0)))))</f>
        <v>0</v>
      </c>
      <c r="J24" s="306">
        <f>IF(AND($G24="Amateur",$H24="1st"),'Point Schedule'!$M$26,IF(AND($G24="Amateur",$H24="2nd"),'Point Schedule'!$M$27,IF(AND($G24="Amateur",$H24="3rd"),'Point Schedule'!$M$28,IF(AND($G24="Amateur",$H24="4th"),'Point Schedule'!$M$29,IF(AND($G24="Amateur",$H24="JAM"),'Point Schedule'!$M$30,0)))))</f>
        <v>0</v>
      </c>
      <c r="K24" s="306">
        <f>IF(AND($G24="Qualifing",$H24="1st"),'Point Schedule'!$N$26,IF(AND($G24="Qualifing",$H24="2nd"),'Point Schedule'!$N$27,IF(AND($G24="Qualifing",$H24="3rd"),'Point Schedule'!$N$28,IF(AND($G24="Qualifing",$H24="4th"),'Point Schedule'!$N$29,IF(AND($G24="Qualifing",$H24="JAM"),'Point Schedule'!$N$30,0)))))</f>
        <v>0</v>
      </c>
      <c r="L24" s="306">
        <f>IF(AND($G24="Open",$H24="1st"),'Point Schedule'!$O$26,IF(AND($G24="Open",$H24="2nd"),'Point Schedule'!$O$27,IF(AND($G24="Open",$H24="3rd"),'Point Schedule'!$O$28,IF(AND($G24="Open",$H24="4th"),'Point Schedule'!$O$29,IF(AND($G24="Open",$H24="JAM"),'Point Schedule'!$O$30,0)))))</f>
        <v>0</v>
      </c>
      <c r="M24" s="307">
        <f>IF($F24="JH Leg", 'Point Schedule'!$L$36, IF($F24="SH Leg", 'Point Schedule'!$M$36, IF($F24="MH Leg", 'Point Schedule'!$N$36,IF($F24="WCX",'Point Schedule'!$P$36, IF($F24="WC", 'Point Schedule'!$O$36,0)))))</f>
        <v>0</v>
      </c>
      <c r="N24" s="122">
        <f t="shared" si="0"/>
        <v>0</v>
      </c>
      <c r="O24" s="122">
        <f t="shared" si="1"/>
        <v>0</v>
      </c>
    </row>
    <row r="25" spans="1:15" ht="20.149999999999999" customHeight="1" x14ac:dyDescent="0.7">
      <c r="A25" s="387"/>
      <c r="B25" s="263"/>
      <c r="C25" s="855"/>
      <c r="D25" s="856"/>
      <c r="E25" s="308"/>
      <c r="F25" s="282"/>
      <c r="G25" s="264"/>
      <c r="H25" s="264"/>
      <c r="I25" s="306">
        <f>IF(AND($G25="Derby",$H25="1st"),'Point Schedule'!$L$26,IF(AND($G25="Derby",$H25="2nd"),'Point Schedule'!$L$27,IF(AND($G25="Derby",$H25="3rd"),'Point Schedule'!$L$28,IF(AND($G25="Derby",$H25="4th"),'Point Schedule'!$L$29,IF(AND($G25="Derby",$H25="JAM"),'Point Schedule'!$L$30,0)))))</f>
        <v>0</v>
      </c>
      <c r="J25" s="306">
        <f>IF(AND($G25="Amateur",$H25="1st"),'Point Schedule'!$M$26,IF(AND($G25="Amateur",$H25="2nd"),'Point Schedule'!$M$27,IF(AND($G25="Amateur",$H25="3rd"),'Point Schedule'!$M$28,IF(AND($G25="Amateur",$H25="4th"),'Point Schedule'!$M$29,IF(AND($G25="Amateur",$H25="JAM"),'Point Schedule'!$M$30,0)))))</f>
        <v>0</v>
      </c>
      <c r="K25" s="306">
        <f>IF(AND($G25="Qualifing",$H25="1st"),'Point Schedule'!$N$26,IF(AND($G25="Qualifing",$H25="2nd"),'Point Schedule'!$N$27,IF(AND($G25="Qualifing",$H25="3rd"),'Point Schedule'!$N$28,IF(AND($G25="Qualifing",$H25="4th"),'Point Schedule'!$N$29,IF(AND($G25="Qualifing",$H25="JAM"),'Point Schedule'!$N$30,0)))))</f>
        <v>0</v>
      </c>
      <c r="L25" s="306">
        <f>IF(AND($G25="Open",$H25="1st"),'Point Schedule'!$O$26,IF(AND($G25="Open",$H25="2nd"),'Point Schedule'!$O$27,IF(AND($G25="Open",$H25="3rd"),'Point Schedule'!$O$28,IF(AND($G25="Open",$H25="4th"),'Point Schedule'!$O$29,IF(AND($G25="Open",$H25="JAM"),'Point Schedule'!$O$30,0)))))</f>
        <v>0</v>
      </c>
      <c r="M25" s="307">
        <f>IF($F25="JH Leg", 'Point Schedule'!$L$36, IF($F25="SH Leg", 'Point Schedule'!$M$36, IF($F25="MH Leg", 'Point Schedule'!$N$36,IF($F25="WCX",'Point Schedule'!$P$36, IF($F25="WC", 'Point Schedule'!$O$36,0)))))</f>
        <v>0</v>
      </c>
      <c r="N25" s="122">
        <f t="shared" si="0"/>
        <v>0</v>
      </c>
      <c r="O25" s="122">
        <f t="shared" si="1"/>
        <v>0</v>
      </c>
    </row>
    <row r="26" spans="1:15" ht="20.149999999999999" customHeight="1" x14ac:dyDescent="0.7">
      <c r="A26" s="387"/>
      <c r="B26" s="263"/>
      <c r="C26" s="855"/>
      <c r="D26" s="856"/>
      <c r="E26" s="308"/>
      <c r="F26" s="282"/>
      <c r="G26" s="264"/>
      <c r="H26" s="264"/>
      <c r="I26" s="306">
        <f>IF(AND($G26="Derby",$H26="1st"),'Point Schedule'!$L$26,IF(AND($G26="Derby",$H26="2nd"),'Point Schedule'!$L$27,IF(AND($G26="Derby",$H26="3rd"),'Point Schedule'!$L$28,IF(AND($G26="Derby",$H26="4th"),'Point Schedule'!$L$29,IF(AND($G26="Derby",$H26="JAM"),'Point Schedule'!$L$30,0)))))</f>
        <v>0</v>
      </c>
      <c r="J26" s="306">
        <f>IF(AND($G26="Amateur",$H26="1st"),'Point Schedule'!$M$26,IF(AND($G26="Amateur",$H26="2nd"),'Point Schedule'!$M$27,IF(AND($G26="Amateur",$H26="3rd"),'Point Schedule'!$M$28,IF(AND($G26="Amateur",$H26="4th"),'Point Schedule'!$M$29,IF(AND($G26="Amateur",$H26="JAM"),'Point Schedule'!$M$30,0)))))</f>
        <v>0</v>
      </c>
      <c r="K26" s="306">
        <f>IF(AND($G26="Qualifing",$H26="1st"),'Point Schedule'!$N$26,IF(AND($G26="Qualifing",$H26="2nd"),'Point Schedule'!$N$27,IF(AND($G26="Qualifing",$H26="3rd"),'Point Schedule'!$N$28,IF(AND($G26="Qualifing",$H26="4th"),'Point Schedule'!$N$29,IF(AND($G26="Qualifing",$H26="JAM"),'Point Schedule'!$N$30,0)))))</f>
        <v>0</v>
      </c>
      <c r="L26" s="306">
        <f>IF(AND($G26="Open",$H26="1st"),'Point Schedule'!$O$26,IF(AND($G26="Open",$H26="2nd"),'Point Schedule'!$O$27,IF(AND($G26="Open",$H26="3rd"),'Point Schedule'!$O$28,IF(AND($G26="Open",$H26="4th"),'Point Schedule'!$O$29,IF(AND($G26="Open",$H26="JAM"),'Point Schedule'!$O$30,0)))))</f>
        <v>0</v>
      </c>
      <c r="M26" s="307">
        <f>IF($F26="JH Leg", 'Point Schedule'!$L$36, IF($F26="SH Leg", 'Point Schedule'!$M$36, IF($F26="MH Leg", 'Point Schedule'!$N$36,IF($F26="WCX",'Point Schedule'!$P$36, IF($F26="WC", 'Point Schedule'!$O$36,0)))))</f>
        <v>0</v>
      </c>
      <c r="N26" s="122">
        <f t="shared" si="0"/>
        <v>0</v>
      </c>
      <c r="O26" s="122">
        <f t="shared" si="1"/>
        <v>0</v>
      </c>
    </row>
    <row r="27" spans="1:15" ht="20.149999999999999" customHeight="1" x14ac:dyDescent="0.7">
      <c r="A27" s="387"/>
      <c r="B27" s="263"/>
      <c r="C27" s="855"/>
      <c r="D27" s="856"/>
      <c r="E27" s="308"/>
      <c r="F27" s="282"/>
      <c r="G27" s="264"/>
      <c r="H27" s="264"/>
      <c r="I27" s="306">
        <f>IF(AND($G27="Derby",$H27="1st"),'Point Schedule'!$L$26,IF(AND($G27="Derby",$H27="2nd"),'Point Schedule'!$L$27,IF(AND($G27="Derby",$H27="3rd"),'Point Schedule'!$L$28,IF(AND($G27="Derby",$H27="4th"),'Point Schedule'!$L$29,IF(AND($G27="Derby",$H27="JAM"),'Point Schedule'!$L$30,0)))))</f>
        <v>0</v>
      </c>
      <c r="J27" s="306">
        <f>IF(AND($G27="Amateur",$H27="1st"),'Point Schedule'!$M$26,IF(AND($G27="Amateur",$H27="2nd"),'Point Schedule'!$M$27,IF(AND($G27="Amateur",$H27="3rd"),'Point Schedule'!$M$28,IF(AND($G27="Amateur",$H27="4th"),'Point Schedule'!$M$29,IF(AND($G27="Amateur",$H27="JAM"),'Point Schedule'!$M$30,0)))))</f>
        <v>0</v>
      </c>
      <c r="K27" s="306">
        <f>IF(AND($G27="Qualifing",$H27="1st"),'Point Schedule'!$N$26,IF(AND($G27="Qualifing",$H27="2nd"),'Point Schedule'!$N$27,IF(AND($G27="Qualifing",$H27="3rd"),'Point Schedule'!$N$28,IF(AND($G27="Qualifing",$H27="4th"),'Point Schedule'!$N$29,IF(AND($G27="Qualifing",$H27="JAM"),'Point Schedule'!$N$30,0)))))</f>
        <v>0</v>
      </c>
      <c r="L27" s="306">
        <f>IF(AND($G27="Open",$H27="1st"),'Point Schedule'!$O$26,IF(AND($G27="Open",$H27="2nd"),'Point Schedule'!$O$27,IF(AND($G27="Open",$H27="3rd"),'Point Schedule'!$O$28,IF(AND($G27="Open",$H27="4th"),'Point Schedule'!$O$29,IF(AND($G27="Open",$H27="JAM"),'Point Schedule'!$O$30,0)))))</f>
        <v>0</v>
      </c>
      <c r="M27" s="307">
        <f>IF($F27="JH Leg", 'Point Schedule'!$L$36, IF($F27="SH Leg", 'Point Schedule'!$M$36, IF($F27="MH Leg", 'Point Schedule'!$N$36,IF($F27="WCX",'Point Schedule'!$P$36, IF($F27="WC", 'Point Schedule'!$O$36,0)))))</f>
        <v>0</v>
      </c>
      <c r="N27" s="122">
        <f t="shared" si="0"/>
        <v>0</v>
      </c>
      <c r="O27" s="122">
        <f t="shared" si="1"/>
        <v>0</v>
      </c>
    </row>
    <row r="28" spans="1:15" ht="20.149999999999999" customHeight="1" x14ac:dyDescent="0.7">
      <c r="A28" s="387"/>
      <c r="B28" s="263"/>
      <c r="C28" s="855"/>
      <c r="D28" s="856"/>
      <c r="E28" s="308"/>
      <c r="F28" s="282"/>
      <c r="G28" s="264"/>
      <c r="H28" s="264"/>
      <c r="I28" s="306">
        <f>IF(AND($G28="Derby",$H28="1st"),'Point Schedule'!$L$26,IF(AND($G28="Derby",$H28="2nd"),'Point Schedule'!$L$27,IF(AND($G28="Derby",$H28="3rd"),'Point Schedule'!$L$28,IF(AND($G28="Derby",$H28="4th"),'Point Schedule'!$L$29,IF(AND($G28="Derby",$H28="JAM"),'Point Schedule'!$L$30,0)))))</f>
        <v>0</v>
      </c>
      <c r="J28" s="306">
        <f>IF(AND($G28="Amateur",$H28="1st"),'Point Schedule'!$M$26,IF(AND($G28="Amateur",$H28="2nd"),'Point Schedule'!$M$27,IF(AND($G28="Amateur",$H28="3rd"),'Point Schedule'!$M$28,IF(AND($G28="Amateur",$H28="4th"),'Point Schedule'!$M$29,IF(AND($G28="Amateur",$H28="JAM"),'Point Schedule'!$M$30,0)))))</f>
        <v>0</v>
      </c>
      <c r="K28" s="306">
        <f>IF(AND($G28="Qualifing",$H28="1st"),'Point Schedule'!$N$26,IF(AND($G28="Qualifing",$H28="2nd"),'Point Schedule'!$N$27,IF(AND($G28="Qualifing",$H28="3rd"),'Point Schedule'!$N$28,IF(AND($G28="Qualifing",$H28="4th"),'Point Schedule'!$N$29,IF(AND($G28="Qualifing",$H28="JAM"),'Point Schedule'!$N$30,0)))))</f>
        <v>0</v>
      </c>
      <c r="L28" s="306">
        <f>IF(AND($G28="Open",$H28="1st"),'Point Schedule'!$O$26,IF(AND($G28="Open",$H28="2nd"),'Point Schedule'!$O$27,IF(AND($G28="Open",$H28="3rd"),'Point Schedule'!$O$28,IF(AND($G28="Open",$H28="4th"),'Point Schedule'!$O$29,IF(AND($G28="Open",$H28="JAM"),'Point Schedule'!$O$30,0)))))</f>
        <v>0</v>
      </c>
      <c r="M28" s="307">
        <f>IF($F28="JH Leg", 'Point Schedule'!$L$36, IF($F28="SH Leg", 'Point Schedule'!$M$36, IF($F28="MH Leg", 'Point Schedule'!$N$36,IF($F28="WCX",'Point Schedule'!$P$36, IF($F28="WC", 'Point Schedule'!$O$36,0)))))</f>
        <v>0</v>
      </c>
      <c r="N28" s="122">
        <f t="shared" si="0"/>
        <v>0</v>
      </c>
      <c r="O28" s="122">
        <f t="shared" si="1"/>
        <v>0</v>
      </c>
    </row>
    <row r="29" spans="1:15" ht="20.149999999999999" customHeight="1" x14ac:dyDescent="0.7">
      <c r="A29" s="387"/>
      <c r="B29" s="263"/>
      <c r="C29" s="855"/>
      <c r="D29" s="856"/>
      <c r="E29" s="308"/>
      <c r="F29" s="282"/>
      <c r="G29" s="264"/>
      <c r="H29" s="264"/>
      <c r="I29" s="306">
        <f>IF(AND($G29="Derby",$H29="1st"),'Point Schedule'!$L$26,IF(AND($G29="Derby",$H29="2nd"),'Point Schedule'!$L$27,IF(AND($G29="Derby",$H29="3rd"),'Point Schedule'!$L$28,IF(AND($G29="Derby",$H29="4th"),'Point Schedule'!$L$29,IF(AND($G29="Derby",$H29="JAM"),'Point Schedule'!$L$30,0)))))</f>
        <v>0</v>
      </c>
      <c r="J29" s="306">
        <f>IF(AND($G29="Amateur",$H29="1st"),'Point Schedule'!$M$26,IF(AND($G29="Amateur",$H29="2nd"),'Point Schedule'!$M$27,IF(AND($G29="Amateur",$H29="3rd"),'Point Schedule'!$M$28,IF(AND($G29="Amateur",$H29="4th"),'Point Schedule'!$M$29,IF(AND($G29="Amateur",$H29="JAM"),'Point Schedule'!$M$30,0)))))</f>
        <v>0</v>
      </c>
      <c r="K29" s="306">
        <f>IF(AND($G29="Qualifing",$H29="1st"),'Point Schedule'!$N$26,IF(AND($G29="Qualifing",$H29="2nd"),'Point Schedule'!$N$27,IF(AND($G29="Qualifing",$H29="3rd"),'Point Schedule'!$N$28,IF(AND($G29="Qualifing",$H29="4th"),'Point Schedule'!$N$29,IF(AND($G29="Qualifing",$H29="JAM"),'Point Schedule'!$N$30,0)))))</f>
        <v>0</v>
      </c>
      <c r="L29" s="306">
        <f>IF(AND($G29="Open",$H29="1st"),'Point Schedule'!$O$26,IF(AND($G29="Open",$H29="2nd"),'Point Schedule'!$O$27,IF(AND($G29="Open",$H29="3rd"),'Point Schedule'!$O$28,IF(AND($G29="Open",$H29="4th"),'Point Schedule'!$O$29,IF(AND($G29="Open",$H29="JAM"),'Point Schedule'!$O$30,0)))))</f>
        <v>0</v>
      </c>
      <c r="M29" s="307">
        <f>IF($F29="JH Leg", 'Point Schedule'!$L$36, IF($F29="SH Leg", 'Point Schedule'!$M$36, IF($F29="MH Leg", 'Point Schedule'!$N$36,IF($F29="WCX",'Point Schedule'!$P$36, IF($F29="WC", 'Point Schedule'!$O$36,0)))))</f>
        <v>0</v>
      </c>
      <c r="N29" s="122">
        <f t="shared" si="0"/>
        <v>0</v>
      </c>
      <c r="O29" s="122">
        <f t="shared" si="1"/>
        <v>0</v>
      </c>
    </row>
    <row r="30" spans="1:15" ht="20.149999999999999" customHeight="1" thickBot="1" x14ac:dyDescent="0.85">
      <c r="A30" s="387"/>
      <c r="B30" s="283"/>
      <c r="C30" s="857"/>
      <c r="D30" s="858"/>
      <c r="E30" s="309"/>
      <c r="F30" s="284"/>
      <c r="G30" s="268"/>
      <c r="H30" s="268"/>
      <c r="I30" s="306">
        <f>IF(AND($G30="Derby",$H30="1st"),'Point Schedule'!$L$26,IF(AND($G30="Derby",$H30="2nd"),'Point Schedule'!$L$27,IF(AND($G30="Derby",$H30="3rd"),'Point Schedule'!$L$28,IF(AND($G30="Derby",$H30="4th"),'Point Schedule'!$L$29,IF(AND($G30="Derby",$H30="JAM"),'Point Schedule'!$L$30,0)))))</f>
        <v>0</v>
      </c>
      <c r="J30" s="306">
        <f>IF(AND($G30="Amateur",$H30="1st"),'Point Schedule'!$M$26,IF(AND($G30="Amateur",$H30="2nd"),'Point Schedule'!$M$27,IF(AND($G30="Amateur",$H30="3rd"),'Point Schedule'!$M$28,IF(AND($G30="Amateur",$H30="4th"),'Point Schedule'!$M$29,IF(AND($G30="Amateur",$H30="JAM"),'Point Schedule'!$M$30,0)))))</f>
        <v>0</v>
      </c>
      <c r="K30" s="306">
        <f>IF(AND($G30="Qualifing",$H30="1st"),'Point Schedule'!$N$26,IF(AND($G30="Qualifing",$H30="2nd"),'Point Schedule'!$N$27,IF(AND($G30="Qualifing",$H30="3rd"),'Point Schedule'!$N$28,IF(AND($G30="Qualifing",$H30="4th"),'Point Schedule'!$N$29,IF(AND($G30="Qualifing",$H30="JAM"),'Point Schedule'!$N$30,0)))))</f>
        <v>0</v>
      </c>
      <c r="L30" s="306">
        <f>IF(AND($G30="Open",$H30="1st"),'Point Schedule'!$O$26,IF(AND($G30="Open",$H30="2nd"),'Point Schedule'!$O$27,IF(AND($G30="Open",$H30="3rd"),'Point Schedule'!$O$28,IF(AND($G30="Open",$H30="4th"),'Point Schedule'!$O$29,IF(AND($G30="Open",$H30="JAM"),'Point Schedule'!$O$30,0)))))</f>
        <v>0</v>
      </c>
      <c r="M30" s="307">
        <f>IF($F30="JH Leg", 'Point Schedule'!$L$36, IF($F30="SH Leg", 'Point Schedule'!$M$36, IF($F30="MH Leg", 'Point Schedule'!$N$36,IF($F30="WCX",'Point Schedule'!$P$36, IF($F30="WC", 'Point Schedule'!$O$36,0)))))</f>
        <v>0</v>
      </c>
      <c r="N30" s="122">
        <f t="shared" si="0"/>
        <v>0</v>
      </c>
      <c r="O30" s="122">
        <f t="shared" si="1"/>
        <v>0</v>
      </c>
    </row>
    <row r="31" spans="1:15" ht="20.149999999999999" customHeight="1" thickTop="1" thickBot="1" x14ac:dyDescent="0.75">
      <c r="A31" s="387"/>
      <c r="B31" s="515" t="s">
        <v>132</v>
      </c>
      <c r="C31" s="110" t="s">
        <v>48</v>
      </c>
      <c r="D31" s="310" t="s">
        <v>660</v>
      </c>
      <c r="E31" s="865"/>
      <c r="F31" s="865"/>
      <c r="G31" s="865"/>
      <c r="H31" s="865"/>
      <c r="I31" s="865"/>
      <c r="J31" s="865"/>
      <c r="K31" s="865"/>
      <c r="L31" s="865"/>
      <c r="M31" s="865"/>
      <c r="N31" s="867">
        <f>SUM(N12:N30)</f>
        <v>0</v>
      </c>
      <c r="O31" s="869">
        <f>SUM(O12:O30)</f>
        <v>0</v>
      </c>
    </row>
    <row r="32" spans="1:15" ht="17" thickTop="1" thickBot="1" x14ac:dyDescent="0.75">
      <c r="A32" s="311"/>
      <c r="B32" s="871"/>
      <c r="C32" s="110">
        <f>SUM(N31)</f>
        <v>0</v>
      </c>
      <c r="D32" s="310">
        <f>SUM(O31)</f>
        <v>0</v>
      </c>
      <c r="E32" s="866"/>
      <c r="F32" s="866"/>
      <c r="G32" s="866"/>
      <c r="H32" s="866"/>
      <c r="I32" s="866"/>
      <c r="J32" s="866"/>
      <c r="K32" s="866"/>
      <c r="L32" s="866"/>
      <c r="M32" s="866"/>
      <c r="N32" s="868"/>
      <c r="O32" s="870"/>
    </row>
    <row r="33" ht="13.75" thickTop="1" x14ac:dyDescent="0.6"/>
  </sheetData>
  <sheetProtection algorithmName="SHA-512" hashValue="YC53wtl7Od2kxyY9wHIcwB7kmtiPNe1CNOX4ji/huunhJ2BDmQlfKd8gDk82YxETlQ42YV36ZCKnXjGWHXnwsA==" saltValue="z+h5IplpwC3MebY1/GSVzA==" spinCount="100000" sheet="1" objects="1" scenarios="1"/>
  <protectedRanges>
    <protectedRange sqref="B11:H30" name="Range1"/>
  </protectedRanges>
  <mergeCells count="50">
    <mergeCell ref="P9:P10"/>
    <mergeCell ref="A1:O1"/>
    <mergeCell ref="N9:N10"/>
    <mergeCell ref="O9:O10"/>
    <mergeCell ref="E31:M32"/>
    <mergeCell ref="N31:N32"/>
    <mergeCell ref="O31:O32"/>
    <mergeCell ref="B31:B32"/>
    <mergeCell ref="H9:H10"/>
    <mergeCell ref="J4:M7"/>
    <mergeCell ref="A4:A31"/>
    <mergeCell ref="B2:M2"/>
    <mergeCell ref="L9:L10"/>
    <mergeCell ref="M9:M10"/>
    <mergeCell ref="B9:B10"/>
    <mergeCell ref="I9:I10"/>
    <mergeCell ref="J9:J10"/>
    <mergeCell ref="K9:K10"/>
    <mergeCell ref="C15:D15"/>
    <mergeCell ref="C16:D16"/>
    <mergeCell ref="C17:D17"/>
    <mergeCell ref="C18:D18"/>
    <mergeCell ref="G9:G10"/>
    <mergeCell ref="F9:F10"/>
    <mergeCell ref="C9:D10"/>
    <mergeCell ref="C11:D11"/>
    <mergeCell ref="C12:D12"/>
    <mergeCell ref="C13:D13"/>
    <mergeCell ref="C14:D14"/>
    <mergeCell ref="C19:D19"/>
    <mergeCell ref="C20:D20"/>
    <mergeCell ref="C21:D21"/>
    <mergeCell ref="C22:D22"/>
    <mergeCell ref="C23:D23"/>
    <mergeCell ref="C29:D29"/>
    <mergeCell ref="C30:D30"/>
    <mergeCell ref="E9:E10"/>
    <mergeCell ref="B4:D4"/>
    <mergeCell ref="B5:D5"/>
    <mergeCell ref="B6:D6"/>
    <mergeCell ref="B7:D7"/>
    <mergeCell ref="E4:I4"/>
    <mergeCell ref="E5:I5"/>
    <mergeCell ref="E6:I6"/>
    <mergeCell ref="E7:I7"/>
    <mergeCell ref="C24:D24"/>
    <mergeCell ref="C25:D25"/>
    <mergeCell ref="C26:D26"/>
    <mergeCell ref="C27:D27"/>
    <mergeCell ref="C28:D28"/>
  </mergeCells>
  <phoneticPr fontId="2" type="noConversion"/>
  <dataValidations count="4">
    <dataValidation type="list" allowBlank="1" showInputMessage="1" showErrorMessage="1" sqref="F12:F30" xr:uid="{00000000-0002-0000-0900-000000000000}">
      <formula1>HuntLeg</formula1>
    </dataValidation>
    <dataValidation type="list" allowBlank="1" showInputMessage="1" showErrorMessage="1" sqref="G12:G30" xr:uid="{00000000-0002-0000-0900-000001000000}">
      <formula1>Field</formula1>
    </dataValidation>
    <dataValidation type="list" allowBlank="1" showInputMessage="1" showErrorMessage="1" sqref="H12:H30" xr:uid="{00000000-0002-0000-0900-000002000000}">
      <formula1>FLDPlace</formula1>
    </dataValidation>
    <dataValidation type="list" allowBlank="1" showInputMessage="1" showErrorMessage="1" sqref="E12:E30" xr:uid="{77839EF4-D805-49DC-A7D6-FAB445A129D2}">
      <formula1>AMPRO</formula1>
    </dataValidation>
  </dataValidations>
  <printOptions horizontalCentered="1" verticalCentered="1"/>
  <pageMargins left="0.25" right="0.25" top="0.25" bottom="0.25" header="0" footer="0"/>
  <pageSetup scale="56"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44</vt:i4>
      </vt:variant>
    </vt:vector>
  </HeadingPairs>
  <TitlesOfParts>
    <vt:vector size="61" baseType="lpstr">
      <vt:lpstr>Instructions</vt:lpstr>
      <vt:lpstr>Summary</vt:lpstr>
      <vt:lpstr>Worker Requirements</vt:lpstr>
      <vt:lpstr>Conformation</vt:lpstr>
      <vt:lpstr>Obedience</vt:lpstr>
      <vt:lpstr>Agility</vt:lpstr>
      <vt:lpstr>Rally</vt:lpstr>
      <vt:lpstr>Tracking</vt:lpstr>
      <vt:lpstr>Field</vt:lpstr>
      <vt:lpstr>Fast Cat</vt:lpstr>
      <vt:lpstr>Trick Dog</vt:lpstr>
      <vt:lpstr>Scent Work</vt:lpstr>
      <vt:lpstr>Junior Showmanship</vt:lpstr>
      <vt:lpstr>Point Schedule</vt:lpstr>
      <vt:lpstr>Tabulation Sheet</vt:lpstr>
      <vt:lpstr>Pull Down Menus</vt:lpstr>
      <vt:lpstr>Revision History</vt:lpstr>
      <vt:lpstr>_VCD1</vt:lpstr>
      <vt:lpstr>AGClasses</vt:lpstr>
      <vt:lpstr>AgilitySTD</vt:lpstr>
      <vt:lpstr>AMPRO</vt:lpstr>
      <vt:lpstr>BIS</vt:lpstr>
      <vt:lpstr>BOBB</vt:lpstr>
      <vt:lpstr>BOS</vt:lpstr>
      <vt:lpstr>BOW</vt:lpstr>
      <vt:lpstr>Champion</vt:lpstr>
      <vt:lpstr>ConfClasses</vt:lpstr>
      <vt:lpstr>FAST</vt:lpstr>
      <vt:lpstr>Field</vt:lpstr>
      <vt:lpstr>FLDPlace</vt:lpstr>
      <vt:lpstr>HoursWorked</vt:lpstr>
      <vt:lpstr>Hunt</vt:lpstr>
      <vt:lpstr>HuntLeg</vt:lpstr>
      <vt:lpstr>JWW</vt:lpstr>
      <vt:lpstr>Major</vt:lpstr>
      <vt:lpstr>NewsletterArt</vt:lpstr>
      <vt:lpstr>ObedClasses</vt:lpstr>
      <vt:lpstr>Obedience1</vt:lpstr>
      <vt:lpstr>Placement</vt:lpstr>
      <vt:lpstr>Agility!Print_Area</vt:lpstr>
      <vt:lpstr>Field!Print_Area</vt:lpstr>
      <vt:lpstr>Instructions!Print_Area</vt:lpstr>
      <vt:lpstr>'Junior Showmanship'!Print_Area</vt:lpstr>
      <vt:lpstr>Obedience!Print_Area</vt:lpstr>
      <vt:lpstr>'Point Schedule'!Print_Area</vt:lpstr>
      <vt:lpstr>'Pull Down Menus'!Print_Area</vt:lpstr>
      <vt:lpstr>Rally!Print_Area</vt:lpstr>
      <vt:lpstr>'Revision History'!Print_Area</vt:lpstr>
      <vt:lpstr>Summary!Print_Area</vt:lpstr>
      <vt:lpstr>Tracking!Print_Area</vt:lpstr>
      <vt:lpstr>Rally</vt:lpstr>
      <vt:lpstr>RallyClasses</vt:lpstr>
      <vt:lpstr>RWD</vt:lpstr>
      <vt:lpstr>Sex</vt:lpstr>
      <vt:lpstr>Specialty</vt:lpstr>
      <vt:lpstr>STDJWW</vt:lpstr>
      <vt:lpstr>Tracking</vt:lpstr>
      <vt:lpstr>Treiball</vt:lpstr>
      <vt:lpstr>UKC</vt:lpstr>
      <vt:lpstr>WDWB</vt:lpstr>
      <vt:lpstr>YN</vt:lpstr>
    </vt:vector>
  </TitlesOfParts>
  <Company>Rolls-Royce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extrain09</dc:creator>
  <cp:lastModifiedBy>Steve RIPLEY</cp:lastModifiedBy>
  <cp:lastPrinted>2019-12-30T16:10:15Z</cp:lastPrinted>
  <dcterms:created xsi:type="dcterms:W3CDTF">2008-07-15T13:07:13Z</dcterms:created>
  <dcterms:modified xsi:type="dcterms:W3CDTF">2025-12-12T02:41:36Z</dcterms:modified>
</cp:coreProperties>
</file>